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2.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ir026767\Box\Private Cloud Management\Calculators\"/>
    </mc:Choice>
  </mc:AlternateContent>
  <xr:revisionPtr revIDLastSave="0" documentId="13_ncr:1_{53312C3E-B2F8-4537-BE8C-06E9075D75A3}" xr6:coauthVersionLast="47" xr6:coauthVersionMax="47" xr10:uidLastSave="{00000000-0000-0000-0000-000000000000}"/>
  <bookViews>
    <workbookView xWindow="-103" yWindow="-103" windowWidth="18720" windowHeight="32400" xr2:uid="{282B3D6D-EB8B-46FF-A1FC-2231A2691BBB}"/>
  </bookViews>
  <sheets>
    <sheet name="Read Me" sheetId="3" r:id="rId1"/>
    <sheet name="Capacity Provider" sheetId="1" r:id="rId2"/>
    <sheet name="Capacity Consumer" sheetId="2" r:id="rId3"/>
    <sheet name="Cost Comparison" sheetId="4" r:id="rId4"/>
  </sheets>
  <definedNames>
    <definedName name="ESXi.CPU.Usable.Capacity.Allocation">'Capacity Provider'!#REF!</definedName>
    <definedName name="ESXi.CPU.Usable.Capacity.Reservation" comment="The number of CPU Cycles available for workload. Based on the Reservation Model.">'Capacity Provider'!$D$36</definedName>
    <definedName name="ESXi.CPU.Usable.Capacity.Utilization" comment="The number of physical CPU Threads available for workload. Based on the Utilization Model.">'Capacity Provider'!$D$32</definedName>
    <definedName name="Hypervisor.Overhead.CPU" comment="ESXi + NSX + vSAN kernel modules overhead">'Capacity Provider'!$D$29</definedName>
    <definedName name="Hypervisor.Overhead.Memory">'Capacity Provider'!$D$51</definedName>
    <definedName name="Silver.VM.RAM" comment="The default size for Silver VM is 32 GB RAM.">'Capacity Consumer'!$D$19</definedName>
    <definedName name="Silver.VM.vCPU" comment="The default size for Silver VM is 8 vCPU.">'Capacity Consumer'!$D$18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7" i="2" l="1"/>
  <c r="I58" i="2"/>
  <c r="E81" i="1"/>
  <c r="F81" i="1"/>
  <c r="D81" i="1"/>
  <c r="E80" i="1"/>
  <c r="F80" i="1"/>
  <c r="D80" i="1"/>
  <c r="G67" i="2"/>
  <c r="G58" i="2"/>
  <c r="D52" i="1"/>
  <c r="D12" i="4"/>
  <c r="D43" i="1"/>
  <c r="D41" i="4"/>
  <c r="C41" i="4"/>
  <c r="C40" i="4"/>
  <c r="C39" i="4"/>
  <c r="D30" i="4"/>
  <c r="C30" i="4"/>
  <c r="C29" i="4"/>
  <c r="C28" i="4"/>
  <c r="D19" i="4"/>
  <c r="C19" i="4"/>
  <c r="C18" i="4"/>
  <c r="C17" i="4"/>
  <c r="C9" i="4"/>
  <c r="C68" i="2"/>
  <c r="H67" i="2"/>
  <c r="D67" i="2"/>
  <c r="C59" i="2"/>
  <c r="H58" i="2"/>
  <c r="D58" i="2"/>
  <c r="C50" i="2"/>
  <c r="H49" i="2"/>
  <c r="D49" i="2"/>
  <c r="C14" i="2"/>
  <c r="D24" i="2"/>
  <c r="E24" i="2" s="1"/>
  <c r="E19" i="2"/>
  <c r="E30" i="4" s="1"/>
  <c r="D27" i="2"/>
  <c r="E27" i="2" s="1"/>
  <c r="D18" i="2"/>
  <c r="D18" i="4" s="1"/>
  <c r="D36" i="1"/>
  <c r="D50" i="3" s="1"/>
  <c r="D45" i="1"/>
  <c r="D11" i="1"/>
  <c r="C6" i="2" l="1"/>
  <c r="I48" i="2"/>
  <c r="G48" i="2"/>
  <c r="E25" i="2"/>
  <c r="E30" i="2"/>
  <c r="D23" i="2"/>
  <c r="E23" i="2"/>
  <c r="D28" i="2"/>
  <c r="E28" i="2"/>
  <c r="I47" i="2"/>
  <c r="G47" i="2"/>
  <c r="E72" i="1"/>
  <c r="E49" i="3" s="1"/>
  <c r="F72" i="1"/>
  <c r="D5" i="2" s="1"/>
  <c r="D72" i="1"/>
  <c r="C42" i="4"/>
  <c r="C18" i="2"/>
  <c r="D55" i="1"/>
  <c r="D32" i="1"/>
  <c r="C7" i="2" s="1"/>
  <c r="C31" i="4"/>
  <c r="E49" i="2"/>
  <c r="J67" i="2"/>
  <c r="D48" i="2"/>
  <c r="M48" i="2" s="1"/>
  <c r="C20" i="4"/>
  <c r="F50" i="3"/>
  <c r="E19" i="4"/>
  <c r="M67" i="2"/>
  <c r="M58" i="2"/>
  <c r="M49" i="2"/>
  <c r="F30" i="4"/>
  <c r="D66" i="2"/>
  <c r="M66" i="2" s="1"/>
  <c r="D19" i="2"/>
  <c r="D40" i="4"/>
  <c r="J49" i="2"/>
  <c r="D29" i="4"/>
  <c r="E41" i="4"/>
  <c r="E58" i="2"/>
  <c r="N58" i="2" s="1"/>
  <c r="D57" i="2"/>
  <c r="M57" i="2" s="1"/>
  <c r="J58" i="2"/>
  <c r="E67" i="2"/>
  <c r="N67" i="2" s="1"/>
  <c r="D47" i="1"/>
  <c r="D48" i="1" s="1"/>
  <c r="D46" i="1"/>
  <c r="L58" i="2" l="1"/>
  <c r="L49" i="2"/>
  <c r="L67" i="2"/>
  <c r="D7" i="2"/>
  <c r="D6" i="2"/>
  <c r="K66" i="2"/>
  <c r="K57" i="2"/>
  <c r="K48" i="2"/>
  <c r="K67" i="2"/>
  <c r="K58" i="2"/>
  <c r="K49" i="2"/>
  <c r="G57" i="2"/>
  <c r="G66" i="2"/>
  <c r="I57" i="2"/>
  <c r="H48" i="2"/>
  <c r="D30" i="2"/>
  <c r="D25" i="2"/>
  <c r="C28" i="2"/>
  <c r="C23" i="2"/>
  <c r="I56" i="2"/>
  <c r="G65" i="2"/>
  <c r="G56" i="2"/>
  <c r="C19" i="2"/>
  <c r="E51" i="3"/>
  <c r="E50" i="3"/>
  <c r="F69" i="1"/>
  <c r="C5" i="2" s="1"/>
  <c r="E69" i="1"/>
  <c r="D49" i="3" s="1"/>
  <c r="D69" i="1"/>
  <c r="D47" i="2"/>
  <c r="D17" i="4"/>
  <c r="D56" i="2"/>
  <c r="D39" i="4"/>
  <c r="D65" i="2"/>
  <c r="D28" i="4"/>
  <c r="H47" i="2"/>
  <c r="F41" i="4"/>
  <c r="N49" i="2"/>
  <c r="F19" i="4"/>
  <c r="J48" i="2"/>
  <c r="E18" i="4"/>
  <c r="F18" i="4" s="1"/>
  <c r="E48" i="2"/>
  <c r="N48" i="2" s="1"/>
  <c r="E29" i="4"/>
  <c r="F29" i="4" s="1"/>
  <c r="E66" i="2"/>
  <c r="N66" i="2" s="1"/>
  <c r="E57" i="2"/>
  <c r="N57" i="2" s="1"/>
  <c r="E40" i="4"/>
  <c r="F40" i="4" s="1"/>
  <c r="D51" i="3"/>
  <c r="F51" i="3" s="1"/>
  <c r="L66" i="2" l="1"/>
  <c r="L57" i="2"/>
  <c r="L48" i="2"/>
  <c r="K65" i="2"/>
  <c r="K56" i="2"/>
  <c r="K47" i="2"/>
  <c r="H66" i="2"/>
  <c r="H57" i="2"/>
  <c r="I66" i="2"/>
  <c r="J57" i="2"/>
  <c r="I65" i="2"/>
  <c r="C30" i="2"/>
  <c r="C25" i="2"/>
  <c r="E17" i="4"/>
  <c r="E28" i="4"/>
  <c r="E56" i="2"/>
  <c r="E39" i="4"/>
  <c r="E65" i="2"/>
  <c r="J47" i="2"/>
  <c r="J56" i="2"/>
  <c r="E47" i="2"/>
  <c r="H65" i="2"/>
  <c r="H56" i="2"/>
  <c r="F73" i="1"/>
  <c r="E73" i="1"/>
  <c r="D73" i="1"/>
  <c r="M65" i="2"/>
  <c r="M68" i="2" s="1"/>
  <c r="D68" i="2"/>
  <c r="D50" i="2"/>
  <c r="M47" i="2"/>
  <c r="M50" i="2" s="1"/>
  <c r="M51" i="2" s="1"/>
  <c r="M56" i="2"/>
  <c r="M59" i="2" s="1"/>
  <c r="M60" i="2" s="1"/>
  <c r="D59" i="2"/>
  <c r="H50" i="2"/>
  <c r="H51" i="2" s="1"/>
  <c r="F49" i="3"/>
  <c r="L47" i="2" l="1"/>
  <c r="L65" i="2"/>
  <c r="L56" i="2"/>
  <c r="K50" i="2"/>
  <c r="K51" i="2" s="1"/>
  <c r="K68" i="2"/>
  <c r="K59" i="2"/>
  <c r="J66" i="2"/>
  <c r="N65" i="2"/>
  <c r="E68" i="2"/>
  <c r="F39" i="4"/>
  <c r="J65" i="2"/>
  <c r="J59" i="2"/>
  <c r="J60" i="2" s="1"/>
  <c r="F28" i="4"/>
  <c r="F17" i="4"/>
  <c r="N56" i="2"/>
  <c r="E59" i="2"/>
  <c r="J50" i="2"/>
  <c r="J51" i="2" s="1"/>
  <c r="H68" i="2"/>
  <c r="H69" i="2" s="1"/>
  <c r="H59" i="2"/>
  <c r="H60" i="2" s="1"/>
  <c r="E50" i="2"/>
  <c r="N47" i="2"/>
  <c r="M69" i="2"/>
  <c r="G51" i="3"/>
  <c r="G49" i="3"/>
  <c r="G50" i="3"/>
  <c r="D44" i="3" l="1"/>
  <c r="L59" i="2"/>
  <c r="L50" i="2"/>
  <c r="L68" i="2"/>
  <c r="K69" i="2"/>
  <c r="N68" i="2"/>
  <c r="N69" i="2" s="1"/>
  <c r="K60" i="2"/>
  <c r="F42" i="4"/>
  <c r="F44" i="4" s="1"/>
  <c r="F45" i="4" s="1"/>
  <c r="J68" i="2"/>
  <c r="J69" i="2" s="1"/>
  <c r="F20" i="4"/>
  <c r="F22" i="4" s="1"/>
  <c r="F23" i="4" s="1"/>
  <c r="N59" i="2"/>
  <c r="N60" i="2" s="1"/>
  <c r="F31" i="4"/>
  <c r="F33" i="4" s="1"/>
  <c r="F34" i="4" s="1"/>
  <c r="N50" i="2"/>
  <c r="N51" i="2" s="1"/>
  <c r="L60" i="2" l="1"/>
  <c r="L51" i="2"/>
  <c r="L6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tc={09A3DBBF-51CF-414D-9B71-7399F1151C67}</author>
    <author>tc={7F412504-B55F-4123-AC2E-BEED70F4BD8F}</author>
  </authors>
  <commentList>
    <comment ref="C68" authorId="0" shapeId="0" xr:uid="{09A3DBBF-51CF-414D-9B71-7399F1151C67}">
      <text>
        <t xml:space="preserve">[Threaded comment]
Your version of Excel allows you to read this threaded comment; however, any edits to it will get removed if the file is opened in a newer version of Excel. Learn more: https://go.microsoft.com/fwlink/?linkid=870924
Comment:
    Measured against thread. Do not measure against core as it can be disable.
</t>
      </text>
    </comment>
    <comment ref="F68" authorId="1" shapeId="0" xr:uid="{7F412504-B55F-4123-AC2E-BEED70F4BD8F}">
      <text>
        <t xml:space="preserve">[Threaded comment]
Your version of Excel allows you to read this threaded comment; however, any edits to it will get removed if the file is opened in a newer version of Excel. Learn more: https://go.microsoft.com/fwlink/?linkid=870924
Comment:
    3x is 6x for thread. It is high already.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tc={B638962A-7363-49CB-9985-A41790963C06}</author>
    <author>tc={9F8E142E-3974-400E-A653-7A20C278E8D9}</author>
    <author>tc={79498161-FF34-48A2-8599-CE0073CA4D40}</author>
    <author>tc={E6F71ED6-B2E5-415B-B6BC-D4788EF93012}</author>
  </authors>
  <commentList>
    <comment ref="B22" authorId="0" shapeId="0" xr:uid="{B638962A-7363-49CB-9985-A41790963C06}">
      <text>
        <t>[Threaded comment]
Your version of Excel allows you to read this threaded comment; however, any edits to it will get removed if the file is opened in a newer version of Excel. Learn more: https://go.microsoft.com/fwlink/?linkid=870924
Comment:
    The highest 5-minute aggregate utilization. At this point, what is the average VM utilization?
While a few VM may spike to 100%, they entire cluster load tend to be much smoother and lower</t>
      </text>
    </comment>
    <comment ref="E22" authorId="1" shapeId="0" xr:uid="{9F8E142E-3974-400E-A653-7A20C278E8D9}">
      <text>
        <t>[Threaded comment]
Your version of Excel allows you to read this threaded comment; however, any edits to it will get removed if the file is opened in a newer version of Excel. Learn more: https://go.microsoft.com/fwlink/?linkid=870924
Comment:
    It is higher as the size is controlled and capped. Bigger size requires stronger justification</t>
      </text>
    </comment>
    <comment ref="B24" authorId="2" shapeId="0" xr:uid="{79498161-FF34-48A2-8599-CE0073CA4D40}">
      <text>
        <t>[Threaded comment]
Your version of Excel allows you to read this threaded comment; however, any edits to it will get removed if the file is opened in a newer version of Excel. Learn more: https://go.microsoft.com/fwlink/?linkid=870924
Comment:
    Due to its “sticky” nature, memory consumed tends to go high</t>
      </text>
    </comment>
    <comment ref="B27" authorId="3" shapeId="0" xr:uid="{E6F71ED6-B2E5-415B-B6BC-D4788EF93012}">
      <text>
        <t>[Threaded comment]
Your version of Excel allows you to read this threaded comment; however, any edits to it will get removed if the file is opened in a newer version of Excel. Learn more: https://go.microsoft.com/fwlink/?linkid=870924
Comment:
    If you set CPU at 100%, there is a chance you cannot provision despite having enough capacity. The reason is VM provisioning does not consider HT and All Cores Turbo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tc={54AF3C35-C6F1-47B0-AD37-DF6107E1D166}</author>
  </authors>
  <commentList>
    <comment ref="B9" authorId="0" shapeId="0" xr:uid="{54AF3C35-C6F1-47B0-AD37-DF6107E1D166}">
      <text>
        <t>[Threaded comment]
Your version of Excel allows you to read this threaded comment; however, any edits to it will get removed if the file is opened in a newer version of Excel. Learn more: https://go.microsoft.com/fwlink/?linkid=870924
Comment:
    Total Cost means everything. Hardware, software, services, people that compares with public cloud</t>
      </text>
    </comment>
  </commentList>
</comments>
</file>

<file path=xl/sharedStrings.xml><?xml version="1.0" encoding="utf-8"?>
<sst xmlns="http://schemas.openxmlformats.org/spreadsheetml/2006/main" count="300" uniqueCount="191">
  <si>
    <t>CPU Speed</t>
  </si>
  <si>
    <t>Core</t>
  </si>
  <si>
    <t>RAM</t>
  </si>
  <si>
    <t>GB RAM</t>
  </si>
  <si>
    <t>cores</t>
  </si>
  <si>
    <t>All Core Turbo</t>
  </si>
  <si>
    <t>Total Capacity</t>
  </si>
  <si>
    <t>CPU</t>
  </si>
  <si>
    <t>Usable Capacity</t>
  </si>
  <si>
    <t>Memory</t>
  </si>
  <si>
    <t>Class of Service</t>
  </si>
  <si>
    <t>The "performance" part is achieved by both overcommit ratio and reservation</t>
  </si>
  <si>
    <t>Gold</t>
  </si>
  <si>
    <t>Silver</t>
  </si>
  <si>
    <t>Bronze</t>
  </si>
  <si>
    <t>Reservation Model</t>
  </si>
  <si>
    <t>Average VM Size</t>
  </si>
  <si>
    <t>No of VM</t>
  </si>
  <si>
    <t>Allocation Model</t>
  </si>
  <si>
    <t>Gold Class VM</t>
  </si>
  <si>
    <t>Silver Class VM</t>
  </si>
  <si>
    <t>Bronze Class VM</t>
  </si>
  <si>
    <t>Total</t>
  </si>
  <si>
    <t>Modify the green cells to suit your scenario</t>
  </si>
  <si>
    <t>Do not modify. They are formula</t>
  </si>
  <si>
    <t>Which cells can you modify?</t>
  </si>
  <si>
    <t>Multiplier</t>
  </si>
  <si>
    <t>CPU Multiplier</t>
  </si>
  <si>
    <t>RAM Multiplier</t>
  </si>
  <si>
    <t>Goal</t>
  </si>
  <si>
    <t>How many VMs can I fit while balancing cost and performance?</t>
  </si>
  <si>
    <t>HT gives 1.25x CPU cycles, not 2.x</t>
  </si>
  <si>
    <t>Replace with the actual speed of your hardware</t>
  </si>
  <si>
    <t>Overhead in %</t>
  </si>
  <si>
    <t>Total CPU Cycles</t>
  </si>
  <si>
    <t>Usable CPU Cycles</t>
  </si>
  <si>
    <t>threads for ESXi + vSAN + NSX</t>
  </si>
  <si>
    <t>ESXi CPU : RAM ratio</t>
  </si>
  <si>
    <t>This is higher as HT does not give 2x</t>
  </si>
  <si>
    <t>Take note that vSphere reservation is capped using base nominal clock speed</t>
  </si>
  <si>
    <t>Max CPU Reservation</t>
  </si>
  <si>
    <t>CPU is set lower than memory as there is relatively less capacity available in this specific ESXi hardware spec.</t>
  </si>
  <si>
    <t>GB RAM per vCPU</t>
  </si>
  <si>
    <t xml:space="preserve">Configured CPU </t>
  </si>
  <si>
    <t>Typical VM Size</t>
  </si>
  <si>
    <t xml:space="preserve">Configured Memory </t>
  </si>
  <si>
    <t>Aim for around 90% - 110%</t>
  </si>
  <si>
    <t>Overall Planned Consumption</t>
  </si>
  <si>
    <t>Public Cloud Cost</t>
  </si>
  <si>
    <t>CPU Price</t>
  </si>
  <si>
    <t>per vCPU per year</t>
  </si>
  <si>
    <t>RAM Price</t>
  </si>
  <si>
    <t>per GB per year</t>
  </si>
  <si>
    <t>VM Size</t>
  </si>
  <si>
    <t>vCPU</t>
  </si>
  <si>
    <t>This is based on the average of AWS, Azure and Google GCP</t>
  </si>
  <si>
    <t>For details how we got this number, see https://docs.google.com/spreadsheets/d/1gRXwvZSIhz_C2bEQbrHmQsudqYq47LI0xYcBBwxSXO8/edit?usp=sharing</t>
  </si>
  <si>
    <t>Private Cloud total cost</t>
  </si>
  <si>
    <t>Reference</t>
  </si>
  <si>
    <t>Hypervisor Overhead</t>
  </si>
  <si>
    <t>5 Year Public Cloud spending</t>
  </si>
  <si>
    <t>Private Cloud Cost</t>
  </si>
  <si>
    <t>Savings with Private Cloud</t>
  </si>
  <si>
    <t>The cost needs to include 1 HA host per cluster. This model uses 9+1 hosts per cluster</t>
  </si>
  <si>
    <t>Total vCPU</t>
  </si>
  <si>
    <t>Total vRAM</t>
  </si>
  <si>
    <t>Planning Scenario: Mostly Gold VMs</t>
  </si>
  <si>
    <t>Planning Scenario: Mostly Silver VMs</t>
  </si>
  <si>
    <t>Planning Scenario: Mostly Bronze VMs</t>
  </si>
  <si>
    <t>Public Cloud does not have Class of Service. Gold VM is treated the same way as Bronze VM. The entire philosophy of public cloud is Cattle, not Pet.</t>
  </si>
  <si>
    <t>Capacity begin with ESXi. Choose a CPU and Memory size that is balanced to avoid wastage</t>
  </si>
  <si>
    <t>ESXi hosts. 9 + 1 HA</t>
  </si>
  <si>
    <t>1 of 10 hosts is for availability, hence 10% buffer</t>
  </si>
  <si>
    <t>of base frequency. Replace with the actual speed of the CPU</t>
  </si>
  <si>
    <t>This is the actual speed the VM gets when all cores are running</t>
  </si>
  <si>
    <t>The cost is likely higher as the above does not include egress network</t>
  </si>
  <si>
    <t>See CPU for explanation. Adjust accordingly</t>
  </si>
  <si>
    <t xml:space="preserve">When a core is running, its actual speed varies over time. </t>
  </si>
  <si>
    <t>This is what you get when all cores run. To be conservative, we're not using this number in the capacity</t>
  </si>
  <si>
    <t>Based on Allocation</t>
  </si>
  <si>
    <t>Based on Reservation</t>
  </si>
  <si>
    <t>Based on Utilization</t>
  </si>
  <si>
    <t>Demand depends on the max of VM (utilization, reservation), which we don't know as it depends on each VM</t>
  </si>
  <si>
    <t>Reservation</t>
  </si>
  <si>
    <t>CPU Cycles</t>
  </si>
  <si>
    <t>System Reservation</t>
  </si>
  <si>
    <t>How many VM will fit on a typical ESXi with 64 cores and 768 GB of RAM?</t>
  </si>
  <si>
    <t>Capacity Model</t>
  </si>
  <si>
    <t>ESXi Usable Capacity</t>
  </si>
  <si>
    <t>Allocation</t>
  </si>
  <si>
    <t>Utilization</t>
  </si>
  <si>
    <t xml:space="preserve">Utilization </t>
  </si>
  <si>
    <t>The speed impacts the throughput. A slow down is speed is not the same as VM facing CPU ready or co-stop as the CPU is still running</t>
  </si>
  <si>
    <t>Memory Tiering</t>
  </si>
  <si>
    <t>Usable Capacity: CPU</t>
  </si>
  <si>
    <t>Usable Capacity: Memory</t>
  </si>
  <si>
    <t>Utilization Model</t>
  </si>
  <si>
    <t>Number of ESXi Hosts in the cluster</t>
  </si>
  <si>
    <t xml:space="preserve">Capacity taken up by Cluster HA </t>
  </si>
  <si>
    <t>DRAM Available to VM</t>
  </si>
  <si>
    <t>Planning Scenarios</t>
  </si>
  <si>
    <t>1. Mostly Gold VMs</t>
  </si>
  <si>
    <t>2. Mostly Silver VMs</t>
  </si>
  <si>
    <t>3. Mostly Bronze VMs</t>
  </si>
  <si>
    <t>Typically this range from 6 - 14 GHz</t>
  </si>
  <si>
    <t>Supply has Turbo Boost, which is not included as reservation can't go beyond it</t>
  </si>
  <si>
    <t>Multiplier Factor</t>
  </si>
  <si>
    <t>CPU: Reserved percentage</t>
  </si>
  <si>
    <t>Memory: Reserved percentage</t>
  </si>
  <si>
    <t>CPU: Size</t>
  </si>
  <si>
    <t>Memory: Size</t>
  </si>
  <si>
    <t>Obviously, the answer depends on ESXi size and size of the VMs</t>
  </si>
  <si>
    <t>If performance is before cost, then less VM</t>
  </si>
  <si>
    <t>If cost is before performance, then more VM</t>
  </si>
  <si>
    <t>So how do you specify the above so you arrive at the correct goal?</t>
  </si>
  <si>
    <t>You use 3 levers:</t>
  </si>
  <si>
    <t>You define Class of Service</t>
  </si>
  <si>
    <t>Each class has their own configuration, reservation, utilization and overcommit ratio</t>
  </si>
  <si>
    <t>Example</t>
  </si>
  <si>
    <t>CPU is more complex than memory. Notice it has 3 different units, while memory simply uses 1 unit</t>
  </si>
  <si>
    <t>RAM (DIMM, not NVMe)</t>
  </si>
  <si>
    <t>Usable Capacity: Allocation Model</t>
  </si>
  <si>
    <t>As each class of service has their own overcommit ratio, we need to have 1 answer for each class of service</t>
  </si>
  <si>
    <t>Memory is simpler as the number is identical for utilization and reservation</t>
  </si>
  <si>
    <t>threads available for VM</t>
  </si>
  <si>
    <t>As this is the amount we can overcommit, the allocation model uses this too</t>
  </si>
  <si>
    <t>higher. This serves as buffer in reservation</t>
  </si>
  <si>
    <t>As this is just at the planning stage, it's better to use 1 VM size for each class</t>
  </si>
  <si>
    <t>Reservation is set high as App Team expects good performance</t>
  </si>
  <si>
    <t>In a running environment, measure contention explicitly. It cannot be modelled</t>
  </si>
  <si>
    <t>There are 3 scenarios, covering the most common ones</t>
  </si>
  <si>
    <t>What if you mix VMs with different level of importance to the business in the same cluster?</t>
  </si>
  <si>
    <t>Utilization model focuses on "run or not", not "the speed during the run time". Do I have the capacity to run the VM, and not how fast the speed when it gets to run</t>
  </si>
  <si>
    <t>CPU Capacity uses thread as the unit, not GHz. It does not care about the speed (performance) of the CPU.</t>
  </si>
  <si>
    <t>vSAN includes dedupe, compress, and heavy network services</t>
  </si>
  <si>
    <t>threads for ESXi + vSAN + NSX. NSX EDP adds 2-4 cores</t>
  </si>
  <si>
    <t>vSAN File Services not included as it's a VM</t>
  </si>
  <si>
    <t>This is what you actually have</t>
  </si>
  <si>
    <t>This example does not use memory tiering as it does not have a need. Set to GB amount you plan to use</t>
  </si>
  <si>
    <t>RAM available for VM</t>
  </si>
  <si>
    <t>Overcommit Ratio</t>
  </si>
  <si>
    <t>Overcommit Ratio (against DRAM)</t>
  </si>
  <si>
    <t>A ratio &gt; 4:1 means you can go memory heavy. If your workload is CPU heavy, buy less RAM</t>
  </si>
  <si>
    <t>Mixed Workload</t>
  </si>
  <si>
    <t>We keep the ratio between Gold, Silver and Bronze consistent as it's easier to justify their relative positioning to app team</t>
  </si>
  <si>
    <t>Adjust this higher if your workload is memory heavy</t>
  </si>
  <si>
    <t>Relative positioning: Gold VM is entitled to 4x the size of Bronze, while Silver is 2x</t>
  </si>
  <si>
    <t>Relative positioning: Gold VM is entitled to 4x reservation than Bronze, while Silver is 2x</t>
  </si>
  <si>
    <r>
      <t>The "</t>
    </r>
    <r>
      <rPr>
        <b/>
        <sz val="11"/>
        <color theme="5"/>
        <rFont val="Calibri"/>
        <family val="2"/>
      </rPr>
      <t>Overall Planned Consumption</t>
    </r>
    <r>
      <rPr>
        <sz val="11"/>
        <color theme="1"/>
        <rFont val="Calibri"/>
        <family val="2"/>
      </rPr>
      <t>" rows have been color coded for ease of checking</t>
    </r>
  </si>
  <si>
    <t>The reason why it's not exact (e.g. 99%) is you're at planning stage. The reality will vary.</t>
  </si>
  <si>
    <t>To keep MS Excel formula readable, we copy the data from the other sheet</t>
  </si>
  <si>
    <t>VM</t>
  </si>
  <si>
    <t xml:space="preserve">Answer: </t>
  </si>
  <si>
    <t>It's the lowest of the 6 numbers in the table below</t>
  </si>
  <si>
    <t>How to customize this spreadsheet</t>
  </si>
  <si>
    <t>Speed (Cycles or Throughput)</t>
  </si>
  <si>
    <t xml:space="preserve">Always enable HT as it gives 2x capacity at 37.5% performance reduction </t>
  </si>
  <si>
    <t>SLA is a lagging indicator while KPI is a leading indicator</t>
  </si>
  <si>
    <t>Aim to meet the promised Performance SLA by measuring KPI</t>
  </si>
  <si>
    <t>Approach</t>
  </si>
  <si>
    <t>Cluster HA is part of availability management. It is not part of the cluster capacity</t>
  </si>
  <si>
    <t>This spreadsheet focuses on ESXi capacity. To translate into cluster, simply multiply by the number of hosts, and then add the HA hosts</t>
  </si>
  <si>
    <t>Thread (Hyper Threading)</t>
  </si>
  <si>
    <t>threads. Capacity uses thread, not core, as this is where the vCPU runs</t>
  </si>
  <si>
    <t>CPU Utilization</t>
  </si>
  <si>
    <t>CPU Allocation</t>
  </si>
  <si>
    <t>CPU Reservation</t>
  </si>
  <si>
    <t>Memory Allocation</t>
  </si>
  <si>
    <t>Memory Reservation</t>
  </si>
  <si>
    <t>Memory Utilization</t>
  </si>
  <si>
    <t>Separate Capacity from Availability. You do not want availability problem turns into Capacity problem and Performance problem</t>
  </si>
  <si>
    <t>Regarding capacity remaining. You run out of capacity if any of these 6 numbers reach 100%:</t>
  </si>
  <si>
    <r>
      <rPr>
        <sz val="11"/>
        <color rgb="FF00B0F0"/>
        <rFont val="Calibri"/>
        <family val="2"/>
      </rPr>
      <t xml:space="preserve">Usable </t>
    </r>
    <r>
      <rPr>
        <sz val="11"/>
        <color theme="1"/>
        <rFont val="Calibri"/>
        <family val="2"/>
      </rPr>
      <t xml:space="preserve">is far more complex than </t>
    </r>
    <r>
      <rPr>
        <sz val="11"/>
        <color rgb="FF00B0F0"/>
        <rFont val="Calibri"/>
        <family val="2"/>
      </rPr>
      <t>Total</t>
    </r>
    <r>
      <rPr>
        <sz val="11"/>
        <color theme="1"/>
        <rFont val="Calibri"/>
        <family val="2"/>
      </rPr>
      <t xml:space="preserve"> as there are 3 different models. Each model has their own.</t>
    </r>
  </si>
  <si>
    <t>There is more CPU cycles available than what can be reserved. Reservation is based on the base nominal clock speed, while real world uses turbo boost</t>
  </si>
  <si>
    <r>
      <rPr>
        <b/>
        <sz val="11"/>
        <color theme="1"/>
        <rFont val="Calibri"/>
        <family val="2"/>
      </rPr>
      <t>Gold Class</t>
    </r>
    <r>
      <rPr>
        <sz val="11"/>
        <color theme="1"/>
        <rFont val="Calibri"/>
        <family val="2"/>
      </rPr>
      <t>. It does not overcommit. Both CPU Thread and physical RAM are 1:1. Suitable for mission critical</t>
    </r>
  </si>
  <si>
    <r>
      <rPr>
        <b/>
        <sz val="11"/>
        <color theme="1"/>
        <rFont val="Calibri"/>
        <family val="2"/>
      </rPr>
      <t>Silver Class</t>
    </r>
    <r>
      <rPr>
        <sz val="11"/>
        <color theme="1"/>
        <rFont val="Calibri"/>
        <family val="2"/>
      </rPr>
      <t>. The default choice. Suitable for most production workload and actual DR</t>
    </r>
  </si>
  <si>
    <r>
      <rPr>
        <b/>
        <sz val="11"/>
        <color theme="1"/>
        <rFont val="Calibri"/>
        <family val="2"/>
      </rPr>
      <t>Bronze Class</t>
    </r>
    <r>
      <rPr>
        <sz val="11"/>
        <color theme="1"/>
        <rFont val="Calibri"/>
        <family val="2"/>
      </rPr>
      <t>. Cost is more important than performance. Suitable for Test, Dev, DR Test, and Clean Room</t>
    </r>
  </si>
  <si>
    <t>Since you're running all 3 in the same cluster, we need to normalize into a single number.</t>
  </si>
  <si>
    <t>We use Bronze, but we multiply the weight of Gold and Silver following the overcommit ratio.</t>
  </si>
  <si>
    <t>per ESXi for 5 years</t>
  </si>
  <si>
    <t>Allocation Model is only used in planning. It is not used in actual management in live environment</t>
  </si>
  <si>
    <t>It is the only model that can be used to justify the price. The main reason why Bronze is 4x cheaper than Gold is it has 4x overcommit. Eventually price has to cover cost.</t>
  </si>
  <si>
    <t>Planning vs Live</t>
  </si>
  <si>
    <t>Planning is needed to increase the chance of successful implementation</t>
  </si>
  <si>
    <t>As there is no actual supply and demand, you use a spreadsheet to simulate.</t>
  </si>
  <si>
    <t>Live Situation</t>
  </si>
  <si>
    <t>Allocation changes its purpose. Since overcommit ratio is the inverse of average utilization, it's dynamic. It's not something you set in the cluster capacity setting</t>
  </si>
  <si>
    <t>Reservation impacts DRS and Resource Pools as it makes the "chunk" bigger. Use sparingly.</t>
  </si>
  <si>
    <t>Complement reservation with Share. Share is complex to manage at scale. As time passes you can also lose control on what VMs have what share when.</t>
  </si>
  <si>
    <t>CPU: Expected Concurrent Peak Utilization</t>
  </si>
  <si>
    <t>Memory: Expected Concurrent Peak Utilization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</si>
</sst>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164" formatCode="0.0\ \x"/>
    <numFmt numFmtId="165" formatCode="0\ \v\C\P\U"/>
    <numFmt numFmtId="166" formatCode="0\ \G\B"/>
    <numFmt numFmtId="167" formatCode="0\ \G\H\z"/>
    <numFmt numFmtId="168" formatCode="0.0\ \G\H\z"/>
    <numFmt numFmtId="169" formatCode="0.0\ \ \:\ \1"/>
    <numFmt numFmtId="170" formatCode="_(&quot;$&quot;* #,##0_);_(&quot;$&quot;* \(#,##0\);_(&quot;$&quot;* &quot;-&quot;??_);_(@_)"/>
    <numFmt numFmtId="171" formatCode="0.00\ \x"/>
    <numFmt numFmtId="172" formatCode="0\ \t\h\r\e\a\d"/>
    <numFmt numFmtId="173" formatCode="0\ \ \V\M"/>
  </numFmts>
  <fonts count="14" x14ac:knownFonts="1">
    <font>
      <sz val="11"/>
      <color theme="1"/>
      <name val="Aptos Narrow"/>
      <family val="2"/>
      <scheme val="minor"/>
    </font>
    <font>
      <sz val="11"/>
      <color theme="1"/>
      <name val="Aptos Narrow"/>
      <family val="2"/>
      <scheme val="minor"/>
    </font>
    <font>
      <b/>
      <sz val="14"/>
      <color theme="1"/>
      <name val="Calibri"/>
      <family val="2"/>
    </font>
    <font>
      <b/>
      <sz val="11"/>
      <color theme="1"/>
      <name val="Calibri"/>
      <family val="2"/>
    </font>
    <font>
      <sz val="11"/>
      <color theme="1"/>
      <name val="Calibri"/>
      <family val="2"/>
    </font>
    <font>
      <sz val="14"/>
      <color theme="1"/>
      <name val="Calibri"/>
      <family val="2"/>
    </font>
    <font>
      <sz val="10"/>
      <color theme="1"/>
      <name val="Calibri"/>
      <family val="2"/>
    </font>
    <font>
      <b/>
      <sz val="12"/>
      <color theme="1"/>
      <name val="Calibri"/>
      <family val="2"/>
    </font>
    <font>
      <b/>
      <sz val="12"/>
      <color rgb="FF00B050"/>
      <name val="Calibri"/>
      <family val="2"/>
    </font>
    <font>
      <b/>
      <sz val="11"/>
      <color rgb="FF000000"/>
      <name val="Calibri"/>
      <family val="2"/>
    </font>
    <font>
      <sz val="11"/>
      <color rgb="FF000000"/>
      <name val="Calibri"/>
      <family val="2"/>
    </font>
    <font>
      <sz val="11"/>
      <color rgb="FF00B0F0"/>
      <name val="Calibri"/>
      <family val="2"/>
    </font>
    <font>
      <b/>
      <sz val="11"/>
      <color rgb="FF00B0F0"/>
      <name val="Calibri"/>
      <family val="2"/>
    </font>
    <font>
      <b/>
      <sz val="11"/>
      <color theme="5"/>
      <name val="Calibri"/>
      <family val="2"/>
    </font>
  </fonts>
  <fills count="9">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EFEFEF"/>
        <bgColor indexed="64"/>
      </patternFill>
    </fill>
    <fill>
      <patternFill patternType="solid">
        <fgColor rgb="FFD9D9D9"/>
        <bgColor rgb="FF000000"/>
      </patternFill>
    </fill>
    <fill>
      <patternFill patternType="solid">
        <fgColor rgb="FFF2F2F2"/>
        <bgColor rgb="FF000000"/>
      </patternFill>
    </fill>
  </fills>
  <borders count="3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theme="0"/>
      </bottom>
      <diagonal/>
    </border>
    <border>
      <left/>
      <right/>
      <top style="medium">
        <color indexed="64"/>
      </top>
      <bottom style="thin">
        <color theme="0"/>
      </bottom>
      <diagonal/>
    </border>
    <border>
      <left/>
      <right style="thin">
        <color indexed="64"/>
      </right>
      <top style="medium">
        <color indexed="64"/>
      </top>
      <bottom style="thin">
        <color theme="0"/>
      </bottom>
      <diagonal/>
    </border>
    <border>
      <left/>
      <right style="medium">
        <color indexed="64"/>
      </right>
      <top style="medium">
        <color indexed="64"/>
      </top>
      <bottom style="thin">
        <color theme="0"/>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156">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4" fillId="2" borderId="0" xfId="0" applyFont="1" applyFill="1"/>
    <xf numFmtId="0" fontId="4" fillId="3" borderId="0" xfId="0" applyFont="1" applyFill="1"/>
    <xf numFmtId="0" fontId="4" fillId="0" borderId="4" xfId="0" applyFont="1" applyBorder="1"/>
    <xf numFmtId="0" fontId="4" fillId="0" borderId="6" xfId="0" applyFont="1" applyBorder="1"/>
    <xf numFmtId="0" fontId="3" fillId="4" borderId="2" xfId="0" applyFont="1" applyFill="1" applyBorder="1" applyAlignment="1">
      <alignment horizontal="center"/>
    </xf>
    <xf numFmtId="0" fontId="3" fillId="4" borderId="3" xfId="0" applyFont="1" applyFill="1" applyBorder="1" applyAlignment="1">
      <alignment horizontal="center"/>
    </xf>
    <xf numFmtId="165" fontId="4" fillId="3" borderId="5" xfId="0" applyNumberFormat="1" applyFont="1" applyFill="1" applyBorder="1"/>
    <xf numFmtId="166" fontId="4" fillId="3" borderId="0" xfId="0" applyNumberFormat="1" applyFont="1" applyFill="1"/>
    <xf numFmtId="166" fontId="4" fillId="3" borderId="5" xfId="0" applyNumberFormat="1" applyFont="1" applyFill="1" applyBorder="1"/>
    <xf numFmtId="0" fontId="4" fillId="0" borderId="4" xfId="0" applyFont="1" applyBorder="1" applyAlignment="1">
      <alignment horizontal="left" indent="2"/>
    </xf>
    <xf numFmtId="0" fontId="4" fillId="0" borderId="6" xfId="0" applyFont="1" applyBorder="1" applyAlignment="1">
      <alignment horizontal="left" indent="2"/>
    </xf>
    <xf numFmtId="165" fontId="4" fillId="2" borderId="5" xfId="0" applyNumberFormat="1" applyFont="1" applyFill="1" applyBorder="1"/>
    <xf numFmtId="0" fontId="4" fillId="4" borderId="6" xfId="0" applyFont="1" applyFill="1" applyBorder="1" applyAlignment="1">
      <alignment horizontal="center"/>
    </xf>
    <xf numFmtId="0" fontId="4" fillId="4" borderId="7" xfId="0" applyFont="1" applyFill="1" applyBorder="1" applyAlignment="1">
      <alignment horizontal="center"/>
    </xf>
    <xf numFmtId="0" fontId="4" fillId="4" borderId="8" xfId="0" applyFont="1" applyFill="1" applyBorder="1" applyAlignment="1">
      <alignment horizontal="center"/>
    </xf>
    <xf numFmtId="167" fontId="4" fillId="3" borderId="0" xfId="0" applyNumberFormat="1" applyFont="1" applyFill="1"/>
    <xf numFmtId="0" fontId="3" fillId="4" borderId="6" xfId="0" applyFont="1" applyFill="1" applyBorder="1"/>
    <xf numFmtId="168" fontId="4" fillId="2" borderId="0" xfId="0" applyNumberFormat="1" applyFont="1" applyFill="1"/>
    <xf numFmtId="166" fontId="4" fillId="2" borderId="0" xfId="0" applyNumberFormat="1" applyFont="1" applyFill="1"/>
    <xf numFmtId="0" fontId="4" fillId="0" borderId="0" xfId="0" applyFont="1" applyAlignment="1">
      <alignment horizontal="left"/>
    </xf>
    <xf numFmtId="166" fontId="4" fillId="2" borderId="5" xfId="0" applyNumberFormat="1" applyFont="1" applyFill="1" applyBorder="1"/>
    <xf numFmtId="1" fontId="4" fillId="3" borderId="0" xfId="0" applyNumberFormat="1" applyFont="1" applyFill="1"/>
    <xf numFmtId="0" fontId="4" fillId="0" borderId="0" xfId="0" applyFont="1" applyAlignment="1">
      <alignment horizontal="left" indent="2"/>
    </xf>
    <xf numFmtId="0" fontId="4" fillId="0" borderId="0" xfId="0" applyFont="1" applyAlignment="1">
      <alignment horizontal="left" indent="4"/>
    </xf>
    <xf numFmtId="0" fontId="4" fillId="2" borderId="14" xfId="0" applyFont="1" applyFill="1" applyBorder="1"/>
    <xf numFmtId="0" fontId="3" fillId="4" borderId="12" xfId="0" applyFont="1" applyFill="1" applyBorder="1"/>
    <xf numFmtId="0" fontId="6" fillId="0" borderId="0" xfId="0" applyFont="1" applyAlignment="1">
      <alignment vertical="center" wrapText="1"/>
    </xf>
    <xf numFmtId="0" fontId="3" fillId="4" borderId="13" xfId="0" applyFont="1" applyFill="1" applyBorder="1" applyAlignment="1">
      <alignment horizontal="center"/>
    </xf>
    <xf numFmtId="170" fontId="3" fillId="4" borderId="12" xfId="2" applyNumberFormat="1" applyFont="1" applyFill="1" applyBorder="1"/>
    <xf numFmtId="6" fontId="4" fillId="3" borderId="11" xfId="0" applyNumberFormat="1" applyFont="1" applyFill="1" applyBorder="1"/>
    <xf numFmtId="6" fontId="4" fillId="3" borderId="14" xfId="0" applyNumberFormat="1" applyFont="1" applyFill="1" applyBorder="1"/>
    <xf numFmtId="6" fontId="4" fillId="3" borderId="12" xfId="0" applyNumberFormat="1" applyFont="1" applyFill="1" applyBorder="1"/>
    <xf numFmtId="0" fontId="3" fillId="4" borderId="13" xfId="0" applyFont="1" applyFill="1" applyBorder="1"/>
    <xf numFmtId="0" fontId="4" fillId="3" borderId="11" xfId="0" applyFont="1" applyFill="1" applyBorder="1"/>
    <xf numFmtId="0" fontId="4" fillId="3" borderId="14" xfId="0" applyFont="1" applyFill="1" applyBorder="1"/>
    <xf numFmtId="0" fontId="4" fillId="3" borderId="12" xfId="0" applyFont="1" applyFill="1" applyBorder="1"/>
    <xf numFmtId="0" fontId="4" fillId="0" borderId="0" xfId="0" applyFont="1" applyAlignment="1">
      <alignment vertical="center" wrapText="1"/>
    </xf>
    <xf numFmtId="6" fontId="4" fillId="6" borderId="0" xfId="0" applyNumberFormat="1" applyFont="1" applyFill="1" applyAlignment="1">
      <alignment horizontal="right" vertical="center" wrapText="1"/>
    </xf>
    <xf numFmtId="0" fontId="4" fillId="0" borderId="0" xfId="0" applyFont="1" applyAlignment="1">
      <alignment vertical="center"/>
    </xf>
    <xf numFmtId="0" fontId="7" fillId="3" borderId="17" xfId="0" applyFont="1" applyFill="1" applyBorder="1"/>
    <xf numFmtId="6" fontId="4" fillId="0" borderId="0" xfId="0" applyNumberFormat="1" applyFont="1" applyAlignment="1">
      <alignment horizontal="right" vertical="center" wrapText="1"/>
    </xf>
    <xf numFmtId="9" fontId="4" fillId="3" borderId="0" xfId="1" applyFont="1" applyFill="1"/>
    <xf numFmtId="170" fontId="4" fillId="3" borderId="0" xfId="2" applyNumberFormat="1" applyFont="1" applyFill="1" applyBorder="1"/>
    <xf numFmtId="0" fontId="4" fillId="0" borderId="0" xfId="0" applyFont="1" applyAlignment="1">
      <alignment wrapText="1"/>
    </xf>
    <xf numFmtId="0" fontId="7" fillId="3" borderId="15" xfId="0" applyFont="1" applyFill="1" applyBorder="1"/>
    <xf numFmtId="0" fontId="7" fillId="3" borderId="19" xfId="0" applyFont="1" applyFill="1" applyBorder="1"/>
    <xf numFmtId="170" fontId="7" fillId="3" borderId="16" xfId="0" applyNumberFormat="1" applyFont="1" applyFill="1" applyBorder="1"/>
    <xf numFmtId="0" fontId="7" fillId="3" borderId="20" xfId="0" applyFont="1" applyFill="1" applyBorder="1"/>
    <xf numFmtId="170" fontId="8" fillId="3" borderId="18" xfId="0" applyNumberFormat="1" applyFont="1" applyFill="1" applyBorder="1"/>
    <xf numFmtId="0" fontId="3" fillId="4" borderId="1" xfId="0" applyFont="1" applyFill="1" applyBorder="1" applyAlignment="1">
      <alignment horizontal="center" vertical="center"/>
    </xf>
    <xf numFmtId="0" fontId="3" fillId="4" borderId="9" xfId="0" applyFont="1" applyFill="1" applyBorder="1"/>
    <xf numFmtId="0" fontId="3" fillId="4" borderId="10" xfId="0" applyFont="1" applyFill="1" applyBorder="1"/>
    <xf numFmtId="170" fontId="3" fillId="4" borderId="8" xfId="2" applyNumberFormat="1" applyFont="1" applyFill="1" applyBorder="1"/>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171" fontId="4" fillId="2" borderId="0" xfId="0" applyNumberFormat="1" applyFont="1" applyFill="1"/>
    <xf numFmtId="9" fontId="4" fillId="2" borderId="5" xfId="1" applyFont="1" applyFill="1" applyBorder="1"/>
    <xf numFmtId="9" fontId="4" fillId="2" borderId="0" xfId="1" applyFont="1" applyFill="1" applyBorder="1"/>
    <xf numFmtId="0" fontId="3" fillId="4" borderId="4" xfId="0" applyFont="1" applyFill="1" applyBorder="1"/>
    <xf numFmtId="166" fontId="3" fillId="4" borderId="5" xfId="0" applyNumberFormat="1" applyFont="1" applyFill="1" applyBorder="1"/>
    <xf numFmtId="0" fontId="3" fillId="4" borderId="14" xfId="0" applyFont="1" applyFill="1" applyBorder="1"/>
    <xf numFmtId="0" fontId="3" fillId="5" borderId="21" xfId="0" applyFont="1" applyFill="1" applyBorder="1" applyAlignment="1">
      <alignment vertical="center"/>
    </xf>
    <xf numFmtId="0" fontId="4" fillId="5" borderId="22" xfId="0" applyFont="1" applyFill="1" applyBorder="1" applyAlignment="1">
      <alignment vertical="center"/>
    </xf>
    <xf numFmtId="167" fontId="4" fillId="2" borderId="0" xfId="0" applyNumberFormat="1" applyFont="1" applyFill="1"/>
    <xf numFmtId="172" fontId="4" fillId="3" borderId="1" xfId="0" applyNumberFormat="1" applyFont="1" applyFill="1" applyBorder="1"/>
    <xf numFmtId="172" fontId="4" fillId="3" borderId="4" xfId="0" applyNumberFormat="1" applyFont="1" applyFill="1" applyBorder="1"/>
    <xf numFmtId="172" fontId="3" fillId="4" borderId="4" xfId="0" applyNumberFormat="1" applyFont="1" applyFill="1" applyBorder="1"/>
    <xf numFmtId="0" fontId="9" fillId="7" borderId="13" xfId="0" applyFont="1" applyFill="1" applyBorder="1" applyAlignment="1">
      <alignment horizontal="center" vertical="center"/>
    </xf>
    <xf numFmtId="0" fontId="5" fillId="0" borderId="0" xfId="0" applyFont="1" applyAlignment="1">
      <alignment vertical="center"/>
    </xf>
    <xf numFmtId="0" fontId="10" fillId="0" borderId="13" xfId="0" applyFont="1" applyBorder="1" applyAlignment="1">
      <alignment vertical="center"/>
    </xf>
    <xf numFmtId="165" fontId="10" fillId="8" borderId="13" xfId="0" applyNumberFormat="1" applyFont="1" applyFill="1" applyBorder="1" applyAlignment="1">
      <alignment horizontal="right" vertical="center"/>
    </xf>
    <xf numFmtId="167" fontId="10" fillId="8" borderId="13" xfId="0" applyNumberFormat="1" applyFont="1" applyFill="1" applyBorder="1" applyAlignment="1">
      <alignment horizontal="right" vertical="center"/>
    </xf>
    <xf numFmtId="172" fontId="10" fillId="8" borderId="13" xfId="0" applyNumberFormat="1" applyFont="1" applyFill="1" applyBorder="1" applyAlignment="1">
      <alignment vertical="center"/>
    </xf>
    <xf numFmtId="173" fontId="10" fillId="8" borderId="13" xfId="0" applyNumberFormat="1" applyFont="1" applyFill="1" applyBorder="1" applyAlignment="1">
      <alignment horizontal="right" vertical="center"/>
    </xf>
    <xf numFmtId="171" fontId="4" fillId="3" borderId="4" xfId="0" applyNumberFormat="1" applyFont="1" applyFill="1" applyBorder="1"/>
    <xf numFmtId="0" fontId="10" fillId="0" borderId="0" xfId="0" applyFont="1" applyAlignment="1">
      <alignment vertical="center"/>
    </xf>
    <xf numFmtId="0" fontId="3" fillId="4" borderId="1" xfId="0" applyFont="1" applyFill="1" applyBorder="1" applyAlignment="1">
      <alignment horizontal="center"/>
    </xf>
    <xf numFmtId="165" fontId="4" fillId="3" borderId="0" xfId="0" applyNumberFormat="1" applyFont="1" applyFill="1"/>
    <xf numFmtId="166" fontId="10" fillId="8" borderId="11" xfId="0" applyNumberFormat="1" applyFont="1" applyFill="1" applyBorder="1" applyAlignment="1">
      <alignment vertical="center"/>
    </xf>
    <xf numFmtId="166" fontId="10" fillId="8" borderId="14" xfId="0" applyNumberFormat="1" applyFont="1" applyFill="1" applyBorder="1" applyAlignment="1">
      <alignment vertical="center"/>
    </xf>
    <xf numFmtId="166" fontId="10" fillId="8" borderId="12" xfId="0" applyNumberFormat="1" applyFont="1" applyFill="1" applyBorder="1" applyAlignment="1">
      <alignment vertical="center"/>
    </xf>
    <xf numFmtId="166" fontId="4" fillId="3" borderId="8" xfId="0" applyNumberFormat="1" applyFont="1" applyFill="1" applyBorder="1"/>
    <xf numFmtId="1" fontId="4" fillId="2" borderId="0" xfId="0" applyNumberFormat="1" applyFont="1" applyFill="1"/>
    <xf numFmtId="169" fontId="4" fillId="3" borderId="7" xfId="1" applyNumberFormat="1" applyFont="1" applyFill="1" applyBorder="1"/>
    <xf numFmtId="169" fontId="4" fillId="3" borderId="8" xfId="1" applyNumberFormat="1" applyFont="1" applyFill="1" applyBorder="1"/>
    <xf numFmtId="167" fontId="4" fillId="3" borderId="5" xfId="0" applyNumberFormat="1" applyFont="1" applyFill="1" applyBorder="1"/>
    <xf numFmtId="0" fontId="7" fillId="0" borderId="0" xfId="0" applyFont="1"/>
    <xf numFmtId="0" fontId="4" fillId="0" borderId="4" xfId="0" applyFont="1" applyBorder="1" applyAlignment="1">
      <alignment horizontal="left"/>
    </xf>
    <xf numFmtId="0" fontId="3" fillId="4" borderId="1" xfId="0" applyFont="1" applyFill="1" applyBorder="1"/>
    <xf numFmtId="171" fontId="4" fillId="3" borderId="0" xfId="0" applyNumberFormat="1" applyFont="1" applyFill="1"/>
    <xf numFmtId="171" fontId="4" fillId="3" borderId="5" xfId="0" applyNumberFormat="1" applyFont="1" applyFill="1" applyBorder="1"/>
    <xf numFmtId="171" fontId="4" fillId="3" borderId="7" xfId="0" applyNumberFormat="1" applyFont="1" applyFill="1" applyBorder="1"/>
    <xf numFmtId="171" fontId="4" fillId="3" borderId="8" xfId="0" applyNumberFormat="1" applyFont="1" applyFill="1" applyBorder="1"/>
    <xf numFmtId="0" fontId="3" fillId="0" borderId="4" xfId="0" applyFont="1" applyBorder="1" applyAlignment="1">
      <alignment horizontal="left" vertical="center"/>
    </xf>
    <xf numFmtId="0" fontId="3" fillId="0" borderId="5" xfId="0" applyFont="1" applyBorder="1" applyAlignment="1">
      <alignment horizontal="center" vertical="center"/>
    </xf>
    <xf numFmtId="164" fontId="4" fillId="2" borderId="0" xfId="0" applyNumberFormat="1" applyFont="1" applyFill="1"/>
    <xf numFmtId="164" fontId="4" fillId="2" borderId="5" xfId="0" applyNumberFormat="1" applyFont="1" applyFill="1" applyBorder="1"/>
    <xf numFmtId="172" fontId="4" fillId="3" borderId="7" xfId="0" applyNumberFormat="1" applyFont="1" applyFill="1" applyBorder="1"/>
    <xf numFmtId="0" fontId="12" fillId="0" borderId="0" xfId="0" applyFont="1"/>
    <xf numFmtId="0" fontId="4" fillId="0" borderId="0" xfId="0" applyFont="1" applyAlignment="1">
      <alignment horizontal="left" indent="1"/>
    </xf>
    <xf numFmtId="164" fontId="4" fillId="3" borderId="0" xfId="0" applyNumberFormat="1" applyFont="1" applyFill="1"/>
    <xf numFmtId="0" fontId="3" fillId="0" borderId="4" xfId="0" applyFont="1" applyBorder="1"/>
    <xf numFmtId="0" fontId="3" fillId="0" borderId="0" xfId="0" applyFont="1" applyAlignment="1">
      <alignment horizontal="center"/>
    </xf>
    <xf numFmtId="0" fontId="3" fillId="0" borderId="5" xfId="0" applyFont="1" applyBorder="1" applyAlignment="1">
      <alignment horizontal="center"/>
    </xf>
    <xf numFmtId="165" fontId="4" fillId="0" borderId="0" xfId="0" applyNumberFormat="1" applyFont="1"/>
    <xf numFmtId="165" fontId="4" fillId="0" borderId="5" xfId="0" applyNumberFormat="1" applyFont="1" applyBorder="1"/>
    <xf numFmtId="0" fontId="4" fillId="0" borderId="4" xfId="0" applyFont="1" applyBorder="1" applyAlignment="1">
      <alignment horizontal="left" indent="1"/>
    </xf>
    <xf numFmtId="0" fontId="3" fillId="0" borderId="4" xfId="0" applyFont="1" applyBorder="1" applyAlignment="1">
      <alignment horizontal="left"/>
    </xf>
    <xf numFmtId="168" fontId="4" fillId="3" borderId="0" xfId="0" applyNumberFormat="1" applyFont="1" applyFill="1"/>
    <xf numFmtId="0" fontId="3" fillId="0" borderId="0" xfId="0" applyFont="1" applyAlignment="1">
      <alignment horizontal="center" vertical="center"/>
    </xf>
    <xf numFmtId="165" fontId="4" fillId="2" borderId="0" xfId="0" applyNumberFormat="1" applyFont="1" applyFill="1"/>
    <xf numFmtId="0" fontId="4" fillId="0" borderId="7" xfId="0" applyFont="1" applyBorder="1"/>
    <xf numFmtId="0" fontId="4" fillId="0" borderId="8" xfId="0" applyFont="1" applyBorder="1"/>
    <xf numFmtId="0" fontId="4" fillId="0" borderId="6" xfId="0" applyFont="1" applyBorder="1" applyAlignment="1">
      <alignment horizontal="left"/>
    </xf>
    <xf numFmtId="173" fontId="4" fillId="0" borderId="0" xfId="0" applyNumberFormat="1" applyFont="1"/>
    <xf numFmtId="173" fontId="3" fillId="3" borderId="0" xfId="0" applyNumberFormat="1" applyFont="1" applyFill="1"/>
    <xf numFmtId="0" fontId="4" fillId="0" borderId="19" xfId="0" applyFont="1" applyBorder="1"/>
    <xf numFmtId="0" fontId="4" fillId="4" borderId="33" xfId="0" applyFont="1" applyFill="1" applyBorder="1" applyAlignment="1">
      <alignment horizontal="center"/>
    </xf>
    <xf numFmtId="0" fontId="4" fillId="0" borderId="34" xfId="0" applyFont="1" applyBorder="1"/>
    <xf numFmtId="166" fontId="4" fillId="3" borderId="35" xfId="0" applyNumberFormat="1" applyFont="1" applyFill="1" applyBorder="1"/>
    <xf numFmtId="166" fontId="4" fillId="3" borderId="36" xfId="0" applyNumberFormat="1" applyFont="1" applyFill="1" applyBorder="1"/>
    <xf numFmtId="0" fontId="4" fillId="4" borderId="34" xfId="0" applyFont="1" applyFill="1" applyBorder="1"/>
    <xf numFmtId="165" fontId="3" fillId="4" borderId="0" xfId="0" applyNumberFormat="1" applyFont="1" applyFill="1"/>
    <xf numFmtId="167" fontId="3" fillId="4" borderId="0" xfId="0" applyNumberFormat="1" applyFont="1" applyFill="1"/>
    <xf numFmtId="166" fontId="3" fillId="4" borderId="0" xfId="0" applyNumberFormat="1" applyFont="1" applyFill="1"/>
    <xf numFmtId="166" fontId="3" fillId="4" borderId="36" xfId="0" applyNumberFormat="1" applyFont="1" applyFill="1" applyBorder="1"/>
    <xf numFmtId="1" fontId="3" fillId="4" borderId="36" xfId="0" applyNumberFormat="1" applyFont="1" applyFill="1" applyBorder="1"/>
    <xf numFmtId="9" fontId="3" fillId="5" borderId="22" xfId="1" applyFont="1" applyFill="1" applyBorder="1" applyAlignment="1">
      <alignment vertical="center"/>
    </xf>
    <xf numFmtId="9" fontId="3" fillId="5" borderId="23" xfId="1" applyFont="1" applyFill="1" applyBorder="1" applyAlignment="1">
      <alignment vertical="center"/>
    </xf>
    <xf numFmtId="9" fontId="3" fillId="5" borderId="24" xfId="1" applyFont="1" applyFill="1" applyBorder="1" applyAlignment="1">
      <alignment vertical="center"/>
    </xf>
    <xf numFmtId="9" fontId="3" fillId="5" borderId="25" xfId="1" applyFont="1" applyFill="1" applyBorder="1" applyAlignment="1">
      <alignment vertical="center"/>
    </xf>
    <xf numFmtId="0" fontId="3" fillId="4" borderId="28" xfId="0" applyFont="1" applyFill="1" applyBorder="1" applyAlignment="1">
      <alignment horizontal="center"/>
    </xf>
    <xf numFmtId="0" fontId="3" fillId="4" borderId="31" xfId="0" applyFont="1" applyFill="1" applyBorder="1" applyAlignment="1">
      <alignment horizontal="center"/>
    </xf>
    <xf numFmtId="0" fontId="3" fillId="4" borderId="27"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29" xfId="0" applyFont="1" applyFill="1" applyBorder="1" applyAlignment="1">
      <alignment horizontal="center"/>
    </xf>
    <xf numFmtId="0" fontId="3" fillId="4" borderId="30" xfId="0" applyFont="1" applyFill="1" applyBorder="1" applyAlignment="1">
      <alignment horizontal="center"/>
    </xf>
    <xf numFmtId="0" fontId="3" fillId="4" borderId="15" xfId="0" applyFont="1" applyFill="1" applyBorder="1" applyAlignment="1">
      <alignment horizontal="center" vertical="center"/>
    </xf>
    <xf numFmtId="0" fontId="3" fillId="4" borderId="32" xfId="0" applyFont="1" applyFill="1" applyBorder="1" applyAlignment="1">
      <alignment horizontal="center" vertical="center"/>
    </xf>
    <xf numFmtId="0" fontId="4" fillId="0" borderId="0" xfId="0" applyFont="1"/>
    <xf numFmtId="0" fontId="9" fillId="7" borderId="11" xfId="0" applyFont="1" applyFill="1" applyBorder="1" applyAlignment="1">
      <alignment horizontal="center" vertical="center"/>
    </xf>
    <xf numFmtId="0" fontId="9" fillId="7" borderId="12" xfId="0" applyFont="1" applyFill="1" applyBorder="1" applyAlignment="1">
      <alignment horizontal="center" vertical="center"/>
    </xf>
    <xf numFmtId="0" fontId="9" fillId="7" borderId="9" xfId="0" applyFont="1" applyFill="1" applyBorder="1" applyAlignment="1">
      <alignment horizontal="center" vertical="center"/>
    </xf>
    <xf numFmtId="0" fontId="9" fillId="7" borderId="26" xfId="0" applyFont="1" applyFill="1" applyBorder="1" applyAlignment="1">
      <alignment horizontal="center" vertical="center"/>
    </xf>
    <xf numFmtId="0" fontId="9" fillId="7" borderId="9" xfId="0" applyFont="1" applyFill="1" applyBorder="1" applyAlignment="1">
      <alignment horizontal="center" vertical="center" wrapText="1"/>
    </xf>
    <xf numFmtId="0" fontId="9" fillId="7" borderId="26"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13" xfId="0" applyFont="1" applyFill="1" applyBorder="1" applyAlignment="1">
      <alignment horizontal="center"/>
    </xf>
  </cellXfs>
  <cellStyles count="3">
    <cellStyle name="Currency" xfId="2" builtinId="4"/>
    <cellStyle name="Normal" xfId="0" builtinId="0"/>
    <cellStyle name="Percent" xfId="1" builtinId="5"/>
  </cellStyles>
  <dxfs count="1">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7</xdr:col>
      <xdr:colOff>240914</xdr:colOff>
      <xdr:row>1</xdr:row>
      <xdr:rowOff>228159</xdr:rowOff>
    </xdr:from>
    <xdr:to>
      <xdr:col>16</xdr:col>
      <xdr:colOff>189703</xdr:colOff>
      <xdr:row>20</xdr:row>
      <xdr:rowOff>54788</xdr:rowOff>
    </xdr:to>
    <xdr:pic>
      <xdr:nvPicPr>
        <xdr:cNvPr id="2" name="Picture 1" descr="A diagram of a diagram&#10;&#10;AI-generated content may be incorrect.">
          <a:extLst>
            <a:ext uri="{FF2B5EF4-FFF2-40B4-BE49-F238E27FC236}">
              <a16:creationId xmlns:a16="http://schemas.microsoft.com/office/drawing/2014/main" id="{9C533ED6-4138-6F55-E790-0048BAD2A149}"/>
            </a:ext>
          </a:extLst>
        </xdr:cNvPr>
        <xdr:cNvPicPr>
          <a:picLocks noChangeAspect="1"/>
        </xdr:cNvPicPr>
      </xdr:nvPicPr>
      <xdr:blipFill>
        <a:blip xmlns:r="http://schemas.openxmlformats.org/officeDocument/2006/relationships" r:embed="rId1"/>
        <a:stretch>
          <a:fillRect/>
        </a:stretch>
      </xdr:blipFill>
      <xdr:spPr>
        <a:xfrm>
          <a:off x="5965853" y="460072"/>
          <a:ext cx="5998407" cy="4190461"/>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xdr:col>
      <xdr:colOff>14199</xdr:colOff>
      <xdr:row>26</xdr:row>
      <xdr:rowOff>89926</xdr:rowOff>
    </xdr:from>
    <xdr:to>
      <xdr:col>10</xdr:col>
      <xdr:colOff>70790</xdr:colOff>
      <xdr:row>40</xdr:row>
      <xdr:rowOff>81809</xdr:rowOff>
    </xdr:to>
    <xdr:pic>
      <xdr:nvPicPr>
        <xdr:cNvPr id="3" name="Picture 2">
          <a:extLst>
            <a:ext uri="{FF2B5EF4-FFF2-40B4-BE49-F238E27FC236}">
              <a16:creationId xmlns:a16="http://schemas.microsoft.com/office/drawing/2014/main" id="{E6232E05-79A2-8BA6-AC47-EBA1C965DC30}"/>
            </a:ext>
          </a:extLst>
        </xdr:cNvPr>
        <xdr:cNvPicPr>
          <a:picLocks noChangeAspect="1"/>
        </xdr:cNvPicPr>
      </xdr:nvPicPr>
      <xdr:blipFill>
        <a:blip xmlns:r="http://schemas.openxmlformats.org/officeDocument/2006/relationships" r:embed="rId2"/>
        <a:stretch>
          <a:fillRect/>
        </a:stretch>
      </xdr:blipFill>
      <xdr:spPr>
        <a:xfrm>
          <a:off x="350236" y="6062870"/>
          <a:ext cx="7525137" cy="3238666"/>
        </a:xfrm>
        <a:prstGeom prst="rect">
          <a:avLst/>
        </a:prstGeom>
        <a:ln>
          <a:noFill/>
        </a:ln>
        <a:effectLst>
          <a:outerShdw blurRad="292100" dist="139700" dir="2700000" algn="tl" rotWithShape="0">
            <a:srgbClr val="333333">
              <a:alpha val="65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6349</xdr:colOff>
      <xdr:row>48</xdr:row>
      <xdr:rowOff>28575</xdr:rowOff>
    </xdr:from>
    <xdr:to>
      <xdr:col>8</xdr:col>
      <xdr:colOff>627957</xdr:colOff>
      <xdr:row>60</xdr:row>
      <xdr:rowOff>66040</xdr:rowOff>
    </xdr:to>
    <xdr:pic>
      <xdr:nvPicPr>
        <xdr:cNvPr id="2" name="Picture 1">
          <a:extLst>
            <a:ext uri="{FF2B5EF4-FFF2-40B4-BE49-F238E27FC236}">
              <a16:creationId xmlns:a16="http://schemas.microsoft.com/office/drawing/2014/main" id="{57D9E547-F30C-7944-884E-248AAFBBA1F8}"/>
            </a:ext>
          </a:extLst>
        </xdr:cNvPr>
        <xdr:cNvPicPr>
          <a:picLocks noChangeAspect="1"/>
        </xdr:cNvPicPr>
      </xdr:nvPicPr>
      <xdr:blipFill>
        <a:blip xmlns:r="http://schemas.openxmlformats.org/officeDocument/2006/relationships" r:embed="rId1"/>
        <a:stretch>
          <a:fillRect/>
        </a:stretch>
      </xdr:blipFill>
      <xdr:spPr>
        <a:xfrm>
          <a:off x="615949" y="8124825"/>
          <a:ext cx="8331325" cy="3162300"/>
        </a:xfrm>
        <a:prstGeom prst="rect">
          <a:avLst/>
        </a:prstGeom>
      </xdr:spPr>
    </xdr:pic>
    <xdr:clientData/>
  </xdr:twoCellAnchor>
  <xdr:twoCellAnchor editAs="oneCell">
    <xdr:from>
      <xdr:col>1</xdr:col>
      <xdr:colOff>9524</xdr:colOff>
      <xdr:row>60</xdr:row>
      <xdr:rowOff>200025</xdr:rowOff>
    </xdr:from>
    <xdr:to>
      <xdr:col>13</xdr:col>
      <xdr:colOff>391869</xdr:colOff>
      <xdr:row>68</xdr:row>
      <xdr:rowOff>115570</xdr:rowOff>
    </xdr:to>
    <xdr:pic>
      <xdr:nvPicPr>
        <xdr:cNvPr id="3" name="Picture 2">
          <a:extLst>
            <a:ext uri="{FF2B5EF4-FFF2-40B4-BE49-F238E27FC236}">
              <a16:creationId xmlns:a16="http://schemas.microsoft.com/office/drawing/2014/main" id="{21F4F776-A874-6D09-39D5-855CE455EB9A}"/>
            </a:ext>
          </a:extLst>
        </xdr:cNvPr>
        <xdr:cNvPicPr>
          <a:picLocks noChangeAspect="1"/>
        </xdr:cNvPicPr>
      </xdr:nvPicPr>
      <xdr:blipFill>
        <a:blip xmlns:r="http://schemas.openxmlformats.org/officeDocument/2006/relationships" r:embed="rId2"/>
        <a:stretch>
          <a:fillRect/>
        </a:stretch>
      </xdr:blipFill>
      <xdr:spPr>
        <a:xfrm>
          <a:off x="619124" y="12468225"/>
          <a:ext cx="12858644" cy="20002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Iwan Rahabok" id="{272EB144-3374-43AA-AD35-D10DF0187BDC}" userId="S::irahabok@vmware.com::156f3981-69fc-4d83-acd3-61e6ecbdd23f" providerId="AD"/>
  <person displayName="Iwan Rahabok" id="{A87F54A4-C6A5-4363-A622-20876405F04C}" userId="S::iwan.rahabok@broadcom.com::80bc9418-7c5b-46e3-8452-ab09f9a5c1f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68" dT="2026-06-14T11:40:14.79" personId="{A87F54A4-C6A5-4363-A622-20876405F04C}" id="{09A3DBBF-51CF-414D-9B71-7399F1151C67}">
    <text xml:space="preserve">Measured against thread. Do not measure against core as it can be disable.
</text>
  </threadedComment>
  <threadedComment ref="F68" dT="2026-07-22T13:48:04.22" personId="{A87F54A4-C6A5-4363-A622-20876405F04C}" id="{7F412504-B55F-4123-AC2E-BEED70F4BD8F}">
    <text xml:space="preserve">3x is 6x for thread. It is high already. </text>
  </threadedComment>
</ThreadedComments>
</file>

<file path=xl/threadedComments/threadedComment2.xml><?xml version="1.0" encoding="utf-8"?>
<ThreadedComments xmlns="http://schemas.microsoft.com/office/spreadsheetml/2018/threadedcomments" xmlns:x="http://schemas.openxmlformats.org/spreadsheetml/2006/main">
  <threadedComment ref="B22" dT="2026-02-21T14:28:59.64" personId="{A87F54A4-C6A5-4363-A622-20876405F04C}" id="{B638962A-7363-49CB-9985-A41790963C06}">
    <text>The highest 5-minute aggregate utilization. At this point, what is the average VM utilization?
While a few VM may spike to 100%, they entire cluster load tend to be much smoother and lower</text>
  </threadedComment>
  <threadedComment ref="E22" dT="2026-07-23T12:34:47.58" personId="{A87F54A4-C6A5-4363-A622-20876405F04C}" id="{9F8E142E-3974-400E-A653-7A20C278E8D9}">
    <text>It is higher as the size is controlled and capped. Bigger size requires stronger justification</text>
  </threadedComment>
  <threadedComment ref="B24" dT="2026-02-21T23:32:12.15" personId="{A87F54A4-C6A5-4363-A622-20876405F04C}" id="{79498161-FF34-48A2-8599-CE0073CA4D40}">
    <text>Due to its “sticky” nature, memory consumed tends to go high</text>
  </threadedComment>
  <threadedComment ref="B27" dT="2025-05-28T15:07:43.85" personId="{272EB144-3374-43AA-AD35-D10DF0187BDC}" id="{E6F71ED6-B2E5-415B-B6BC-D4788EF93012}">
    <text>If you set CPU at 100%, there is a chance you cannot provision despite having enough capacity. The reason is VM provisioning does not consider HT and All Cores Turbo</text>
  </threadedComment>
</ThreadedComments>
</file>

<file path=xl/threadedComments/threadedComment3.xml><?xml version="1.0" encoding="utf-8"?>
<ThreadedComments xmlns="http://schemas.microsoft.com/office/spreadsheetml/2018/threadedcomments" xmlns:x="http://schemas.openxmlformats.org/spreadsheetml/2006/main">
  <threadedComment ref="B9" dT="2026-06-25T02:48:22.81" personId="{A87F54A4-C6A5-4363-A622-20876405F04C}" id="{54AF3C35-C6F1-47B0-AD37-DF6107E1D166}">
    <text>Total Cost means everything. Hardware, software, services, people that compares with public cloud</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8D31C-D9EA-4B77-904B-4779CE66833E}">
  <dimension ref="A2:U65"/>
  <sheetViews>
    <sheetView showGridLines="0" tabSelected="1" zoomScale="115" zoomScaleNormal="115" workbookViewId="0">
      <selection activeCell="J49" sqref="J49"/>
    </sheetView>
  </sheetViews>
  <sheetFormatPr defaultColWidth="8.765625" defaultRowHeight="18.45" x14ac:dyDescent="0.5"/>
  <cols>
    <col min="1" max="1" width="4.765625" style="4" customWidth="1"/>
    <col min="2" max="2" width="4.765625" style="3" customWidth="1"/>
    <col min="3" max="3" width="13.765625" style="3" customWidth="1"/>
    <col min="4" max="4" width="14.921875" style="3" customWidth="1"/>
    <col min="5" max="8" width="13.61328125" style="3" customWidth="1"/>
    <col min="9" max="16" width="8.765625" style="3"/>
    <col min="17" max="21" width="17.23046875" style="3" customWidth="1"/>
    <col min="22" max="16384" width="8.765625" style="3"/>
  </cols>
  <sheetData>
    <row r="2" spans="1:3" x14ac:dyDescent="0.5">
      <c r="A2" s="1" t="s">
        <v>29</v>
      </c>
    </row>
    <row r="3" spans="1:3" x14ac:dyDescent="0.5">
      <c r="B3" s="3" t="s">
        <v>30</v>
      </c>
    </row>
    <row r="4" spans="1:3" x14ac:dyDescent="0.5">
      <c r="B4" s="3" t="s">
        <v>111</v>
      </c>
    </row>
    <row r="5" spans="1:3" x14ac:dyDescent="0.5">
      <c r="C5" s="3" t="s">
        <v>112</v>
      </c>
    </row>
    <row r="6" spans="1:3" x14ac:dyDescent="0.5">
      <c r="C6" s="3" t="s">
        <v>113</v>
      </c>
    </row>
    <row r="7" spans="1:3" x14ac:dyDescent="0.5">
      <c r="B7" s="3" t="s">
        <v>114</v>
      </c>
    </row>
    <row r="8" spans="1:3" x14ac:dyDescent="0.5">
      <c r="A8" s="1"/>
      <c r="C8" s="3" t="s">
        <v>115</v>
      </c>
    </row>
    <row r="9" spans="1:3" x14ac:dyDescent="0.5">
      <c r="A9" s="1"/>
      <c r="C9" s="103" t="s">
        <v>91</v>
      </c>
    </row>
    <row r="10" spans="1:3" x14ac:dyDescent="0.5">
      <c r="A10" s="1"/>
      <c r="C10" s="103" t="s">
        <v>89</v>
      </c>
    </row>
    <row r="11" spans="1:3" x14ac:dyDescent="0.5">
      <c r="A11" s="1"/>
      <c r="C11" s="103" t="s">
        <v>83</v>
      </c>
    </row>
    <row r="12" spans="1:3" x14ac:dyDescent="0.5">
      <c r="B12" s="3" t="s">
        <v>11</v>
      </c>
    </row>
    <row r="13" spans="1:3" ht="17.5" customHeight="1" x14ac:dyDescent="0.4">
      <c r="A13" s="3"/>
      <c r="C13" s="24" t="s">
        <v>129</v>
      </c>
    </row>
    <row r="14" spans="1:3" ht="17.5" customHeight="1" x14ac:dyDescent="0.4">
      <c r="A14" s="3"/>
      <c r="C14" s="24" t="s">
        <v>158</v>
      </c>
    </row>
    <row r="15" spans="1:3" ht="17.5" customHeight="1" x14ac:dyDescent="0.4">
      <c r="A15" s="3"/>
      <c r="C15" s="24" t="s">
        <v>157</v>
      </c>
    </row>
    <row r="16" spans="1:3" x14ac:dyDescent="0.5">
      <c r="B16" s="3" t="s">
        <v>131</v>
      </c>
    </row>
    <row r="17" spans="1:3" x14ac:dyDescent="0.5">
      <c r="C17" s="3" t="s">
        <v>116</v>
      </c>
    </row>
    <row r="18" spans="1:3" x14ac:dyDescent="0.5">
      <c r="C18" s="3" t="s">
        <v>117</v>
      </c>
    </row>
    <row r="20" spans="1:3" s="2" customFormat="1" x14ac:dyDescent="0.5">
      <c r="A20" s="1" t="s">
        <v>182</v>
      </c>
    </row>
    <row r="21" spans="1:3" x14ac:dyDescent="0.5">
      <c r="B21" s="3" t="s">
        <v>183</v>
      </c>
    </row>
    <row r="22" spans="1:3" x14ac:dyDescent="0.5">
      <c r="B22" s="3" t="s">
        <v>184</v>
      </c>
    </row>
    <row r="23" spans="1:3" s="2" customFormat="1" x14ac:dyDescent="0.5">
      <c r="A23" s="1"/>
      <c r="B23" s="2" t="s">
        <v>185</v>
      </c>
    </row>
    <row r="24" spans="1:3" x14ac:dyDescent="0.5">
      <c r="C24" s="3" t="s">
        <v>186</v>
      </c>
    </row>
    <row r="25" spans="1:3" ht="17.5" customHeight="1" x14ac:dyDescent="0.4">
      <c r="A25" s="3"/>
      <c r="C25" s="24" t="s">
        <v>187</v>
      </c>
    </row>
    <row r="26" spans="1:3" x14ac:dyDescent="0.5">
      <c r="C26" s="3" t="s">
        <v>188</v>
      </c>
    </row>
    <row r="42" spans="1:7" x14ac:dyDescent="0.5">
      <c r="A42" s="1" t="s">
        <v>118</v>
      </c>
    </row>
    <row r="43" spans="1:7" x14ac:dyDescent="0.5">
      <c r="B43" s="3" t="s">
        <v>86</v>
      </c>
    </row>
    <row r="44" spans="1:7" x14ac:dyDescent="0.5">
      <c r="B44" s="3" t="s">
        <v>152</v>
      </c>
      <c r="D44" s="120">
        <f>MIN(F49:G51)</f>
        <v>26.4</v>
      </c>
    </row>
    <row r="45" spans="1:7" x14ac:dyDescent="0.5">
      <c r="B45" s="3" t="s">
        <v>153</v>
      </c>
    </row>
    <row r="46" spans="1:7" ht="6.35" customHeight="1" x14ac:dyDescent="0.5">
      <c r="D46" s="119"/>
    </row>
    <row r="47" spans="1:7" s="43" customFormat="1" ht="24.55" customHeight="1" x14ac:dyDescent="0.4">
      <c r="A47" s="73"/>
      <c r="C47" s="145" t="s">
        <v>87</v>
      </c>
      <c r="D47" s="147" t="s">
        <v>88</v>
      </c>
      <c r="E47" s="148"/>
      <c r="F47" s="149" t="s">
        <v>151</v>
      </c>
      <c r="G47" s="150"/>
    </row>
    <row r="48" spans="1:7" s="43" customFormat="1" ht="24.55" customHeight="1" x14ac:dyDescent="0.4">
      <c r="A48" s="73"/>
      <c r="C48" s="146"/>
      <c r="D48" s="72" t="s">
        <v>7</v>
      </c>
      <c r="E48" s="72" t="s">
        <v>9</v>
      </c>
      <c r="F48" s="72" t="s">
        <v>7</v>
      </c>
      <c r="G48" s="72" t="s">
        <v>9</v>
      </c>
    </row>
    <row r="49" spans="1:21" s="43" customFormat="1" ht="24.55" customHeight="1" x14ac:dyDescent="0.4">
      <c r="A49" s="73"/>
      <c r="C49" s="74" t="s">
        <v>89</v>
      </c>
      <c r="D49" s="75">
        <f>'Capacity Provider'!E69</f>
        <v>228</v>
      </c>
      <c r="E49" s="83">
        <f>'Capacity Provider'!E72</f>
        <v>844.8</v>
      </c>
      <c r="F49" s="78">
        <f>D49/Silver.VM.vCPU</f>
        <v>28.5</v>
      </c>
      <c r="G49" s="78">
        <f>E49/Silver.VM.RAM</f>
        <v>26.4</v>
      </c>
    </row>
    <row r="50" spans="1:21" s="43" customFormat="1" ht="24.55" customHeight="1" x14ac:dyDescent="0.4">
      <c r="A50" s="73"/>
      <c r="C50" s="74" t="s">
        <v>83</v>
      </c>
      <c r="D50" s="76">
        <f>ESXi.CPU.Usable.Capacity.Reservation</f>
        <v>150</v>
      </c>
      <c r="E50" s="84">
        <f>'Capacity Provider'!D55</f>
        <v>704</v>
      </c>
      <c r="F50" s="78">
        <f>D50/'Capacity Provider'!D9/(Silver.VM.vCPU*'Capacity Consumer'!D27)</f>
        <v>30</v>
      </c>
      <c r="G50" s="78">
        <f>E49/(Silver.VM.RAM*'Capacity Consumer'!D29)</f>
        <v>52.8</v>
      </c>
    </row>
    <row r="51" spans="1:21" s="43" customFormat="1" ht="24.55" customHeight="1" x14ac:dyDescent="0.4">
      <c r="A51" s="73"/>
      <c r="C51" s="74" t="s">
        <v>90</v>
      </c>
      <c r="D51" s="77">
        <f>ESXi.CPU.Usable.Capacity.Utilization</f>
        <v>114</v>
      </c>
      <c r="E51" s="85">
        <f>'Capacity Provider'!D55</f>
        <v>704</v>
      </c>
      <c r="F51" s="78">
        <f>D51/(Silver.VM.vCPU*'Capacity Consumer'!D22)</f>
        <v>28.5</v>
      </c>
      <c r="G51" s="78">
        <f>E49/(Silver.VM.RAM*'Capacity Consumer'!D24)</f>
        <v>31.058823529411764</v>
      </c>
    </row>
    <row r="52" spans="1:21" s="43" customFormat="1" ht="18.55" customHeight="1" x14ac:dyDescent="0.4">
      <c r="A52" s="73"/>
      <c r="B52" s="43" t="s">
        <v>119</v>
      </c>
      <c r="D52" s="80"/>
      <c r="E52" s="80"/>
      <c r="F52" s="80"/>
      <c r="G52" s="80"/>
      <c r="H52" s="80"/>
      <c r="I52" s="80"/>
    </row>
    <row r="55" spans="1:21" x14ac:dyDescent="0.5">
      <c r="A55" s="1" t="s">
        <v>154</v>
      </c>
    </row>
    <row r="56" spans="1:21" x14ac:dyDescent="0.5">
      <c r="A56" s="1"/>
      <c r="B56" s="3" t="s">
        <v>25</v>
      </c>
    </row>
    <row r="57" spans="1:21" x14ac:dyDescent="0.5">
      <c r="B57" s="6"/>
      <c r="C57" s="3" t="s">
        <v>24</v>
      </c>
    </row>
    <row r="58" spans="1:21" x14ac:dyDescent="0.5">
      <c r="B58" s="5"/>
      <c r="C58" s="3" t="s">
        <v>23</v>
      </c>
    </row>
    <row r="59" spans="1:21" x14ac:dyDescent="0.5">
      <c r="Q59" s="144"/>
      <c r="R59" s="144"/>
      <c r="S59" s="144"/>
      <c r="T59" s="144"/>
      <c r="U59" s="144"/>
    </row>
    <row r="60" spans="1:21" x14ac:dyDescent="0.5">
      <c r="Q60" s="144"/>
      <c r="T60" s="144"/>
      <c r="U60" s="144"/>
    </row>
    <row r="61" spans="1:21" ht="14.6" x14ac:dyDescent="0.4">
      <c r="A61" s="3"/>
    </row>
    <row r="62" spans="1:21" ht="14.6" x14ac:dyDescent="0.4">
      <c r="A62" s="3"/>
    </row>
    <row r="63" spans="1:21" ht="14.6" x14ac:dyDescent="0.4">
      <c r="A63" s="3"/>
    </row>
    <row r="64" spans="1:21" ht="14.6" x14ac:dyDescent="0.4">
      <c r="A64" s="3"/>
    </row>
    <row r="65" spans="1:1" ht="14.6" x14ac:dyDescent="0.4">
      <c r="A65" s="3"/>
    </row>
  </sheetData>
  <mergeCells count="6">
    <mergeCell ref="R59:S59"/>
    <mergeCell ref="T59:U60"/>
    <mergeCell ref="Q59:Q60"/>
    <mergeCell ref="C47:C48"/>
    <mergeCell ref="D47:E47"/>
    <mergeCell ref="F47:G4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562C2-10A5-4861-B311-34CC762F9488}">
  <dimension ref="A1:M81"/>
  <sheetViews>
    <sheetView showGridLines="0" topLeftCell="A46" zoomScale="120" zoomScaleNormal="120" workbookViewId="0">
      <selection activeCell="G75" sqref="G75"/>
    </sheetView>
  </sheetViews>
  <sheetFormatPr defaultColWidth="8.765625" defaultRowHeight="18.45" x14ac:dyDescent="0.5"/>
  <cols>
    <col min="1" max="1" width="4.765625" style="4" customWidth="1"/>
    <col min="2" max="2" width="4.765625" style="3" customWidth="1"/>
    <col min="3" max="3" width="35" style="3" customWidth="1"/>
    <col min="4" max="6" width="10.4609375" style="3" customWidth="1"/>
    <col min="7" max="7" width="62.53515625" style="3" customWidth="1"/>
    <col min="8" max="8" width="25.07421875" style="3" customWidth="1"/>
    <col min="9" max="9" width="10.4609375" style="3" customWidth="1"/>
    <col min="10" max="16384" width="8.765625" style="3"/>
  </cols>
  <sheetData>
    <row r="1" spans="1:5" x14ac:dyDescent="0.5">
      <c r="A1" s="1" t="s">
        <v>159</v>
      </c>
      <c r="B1" s="2"/>
    </row>
    <row r="2" spans="1:5" x14ac:dyDescent="0.5">
      <c r="B2" s="3" t="s">
        <v>170</v>
      </c>
    </row>
    <row r="3" spans="1:5" x14ac:dyDescent="0.5">
      <c r="B3" s="3" t="s">
        <v>160</v>
      </c>
    </row>
    <row r="4" spans="1:5" x14ac:dyDescent="0.5">
      <c r="B4" s="3" t="s">
        <v>161</v>
      </c>
    </row>
    <row r="6" spans="1:5" x14ac:dyDescent="0.5">
      <c r="A6" s="1" t="s">
        <v>6</v>
      </c>
      <c r="B6" s="2"/>
    </row>
    <row r="7" spans="1:5" x14ac:dyDescent="0.5">
      <c r="A7" s="1"/>
      <c r="B7" s="3" t="s">
        <v>70</v>
      </c>
    </row>
    <row r="8" spans="1:5" x14ac:dyDescent="0.5">
      <c r="B8" s="2" t="s">
        <v>7</v>
      </c>
    </row>
    <row r="9" spans="1:5" x14ac:dyDescent="0.5">
      <c r="C9" s="3" t="s">
        <v>155</v>
      </c>
      <c r="D9" s="22">
        <v>2.5</v>
      </c>
      <c r="E9" s="3" t="s">
        <v>32</v>
      </c>
    </row>
    <row r="10" spans="1:5" x14ac:dyDescent="0.5">
      <c r="C10" s="3" t="s">
        <v>1</v>
      </c>
      <c r="D10" s="5">
        <v>64</v>
      </c>
      <c r="E10" s="3" t="s">
        <v>4</v>
      </c>
    </row>
    <row r="11" spans="1:5" x14ac:dyDescent="0.5">
      <c r="C11" s="3" t="s">
        <v>162</v>
      </c>
      <c r="D11" s="6">
        <f>D10*2</f>
        <v>128</v>
      </c>
      <c r="E11" s="3" t="s">
        <v>163</v>
      </c>
    </row>
    <row r="12" spans="1:5" x14ac:dyDescent="0.5">
      <c r="E12" s="3" t="s">
        <v>156</v>
      </c>
    </row>
    <row r="13" spans="1:5" x14ac:dyDescent="0.5">
      <c r="B13" s="2" t="s">
        <v>9</v>
      </c>
      <c r="D13" s="23">
        <v>768</v>
      </c>
      <c r="E13" s="3" t="s">
        <v>120</v>
      </c>
    </row>
    <row r="14" spans="1:5" x14ac:dyDescent="0.5">
      <c r="A14" s="1"/>
    </row>
    <row r="15" spans="1:5" x14ac:dyDescent="0.5">
      <c r="A15" s="1" t="s">
        <v>8</v>
      </c>
    </row>
    <row r="16" spans="1:5" x14ac:dyDescent="0.5">
      <c r="A16" s="1"/>
      <c r="B16" s="3" t="s">
        <v>172</v>
      </c>
    </row>
    <row r="17" spans="1:5" x14ac:dyDescent="0.5">
      <c r="A17" s="1"/>
      <c r="B17" s="3" t="s">
        <v>171</v>
      </c>
    </row>
    <row r="18" spans="1:5" x14ac:dyDescent="0.5">
      <c r="A18" s="1"/>
      <c r="C18" s="24" t="s">
        <v>165</v>
      </c>
    </row>
    <row r="19" spans="1:5" x14ac:dyDescent="0.5">
      <c r="A19" s="1"/>
      <c r="C19" s="24" t="s">
        <v>166</v>
      </c>
    </row>
    <row r="20" spans="1:5" x14ac:dyDescent="0.5">
      <c r="A20" s="1"/>
      <c r="C20" s="24" t="s">
        <v>164</v>
      </c>
    </row>
    <row r="21" spans="1:5" x14ac:dyDescent="0.5">
      <c r="A21" s="1"/>
      <c r="C21" s="24" t="s">
        <v>167</v>
      </c>
    </row>
    <row r="22" spans="1:5" x14ac:dyDescent="0.5">
      <c r="A22" s="1"/>
      <c r="C22" s="24" t="s">
        <v>168</v>
      </c>
    </row>
    <row r="23" spans="1:5" x14ac:dyDescent="0.5">
      <c r="A23" s="1"/>
      <c r="C23" s="24" t="s">
        <v>169</v>
      </c>
    </row>
    <row r="24" spans="1:5" x14ac:dyDescent="0.5">
      <c r="A24" s="1"/>
    </row>
    <row r="25" spans="1:5" x14ac:dyDescent="0.5">
      <c r="A25" s="1" t="s">
        <v>94</v>
      </c>
    </row>
    <row r="26" spans="1:5" x14ac:dyDescent="0.5">
      <c r="A26" s="1"/>
      <c r="B26" s="2" t="s">
        <v>96</v>
      </c>
    </row>
    <row r="27" spans="1:5" x14ac:dyDescent="0.5">
      <c r="A27" s="1"/>
      <c r="B27" s="2"/>
      <c r="C27" s="3" t="s">
        <v>132</v>
      </c>
    </row>
    <row r="28" spans="1:5" x14ac:dyDescent="0.5">
      <c r="A28" s="1"/>
      <c r="B28" s="2"/>
      <c r="C28" s="3" t="s">
        <v>133</v>
      </c>
    </row>
    <row r="29" spans="1:5" x14ac:dyDescent="0.5">
      <c r="C29" s="3" t="s">
        <v>59</v>
      </c>
      <c r="D29" s="5">
        <v>14</v>
      </c>
      <c r="E29" s="3" t="s">
        <v>135</v>
      </c>
    </row>
    <row r="30" spans="1:5" x14ac:dyDescent="0.5">
      <c r="E30" s="3" t="s">
        <v>134</v>
      </c>
    </row>
    <row r="31" spans="1:5" x14ac:dyDescent="0.5">
      <c r="E31" s="3" t="s">
        <v>136</v>
      </c>
    </row>
    <row r="32" spans="1:5" x14ac:dyDescent="0.5">
      <c r="C32" s="3" t="s">
        <v>8</v>
      </c>
      <c r="D32" s="26">
        <f>D11-Hypervisor.Overhead.CPU</f>
        <v>114</v>
      </c>
      <c r="E32" s="3" t="s">
        <v>124</v>
      </c>
    </row>
    <row r="33" spans="1:8" x14ac:dyDescent="0.5">
      <c r="E33" s="3" t="s">
        <v>125</v>
      </c>
    </row>
    <row r="34" spans="1:8" x14ac:dyDescent="0.5">
      <c r="A34" s="1"/>
      <c r="B34" s="2" t="s">
        <v>15</v>
      </c>
    </row>
    <row r="35" spans="1:8" x14ac:dyDescent="0.5">
      <c r="A35" s="1"/>
      <c r="B35" s="2"/>
      <c r="C35" s="3" t="s">
        <v>85</v>
      </c>
      <c r="D35" s="68">
        <v>10</v>
      </c>
      <c r="E35" s="3" t="s">
        <v>104</v>
      </c>
    </row>
    <row r="36" spans="1:8" x14ac:dyDescent="0.5">
      <c r="C36" s="3" t="s">
        <v>40</v>
      </c>
      <c r="D36" s="20">
        <f>D9*D10 - D35</f>
        <v>150</v>
      </c>
      <c r="E36" s="3" t="s">
        <v>39</v>
      </c>
    </row>
    <row r="37" spans="1:8" x14ac:dyDescent="0.5">
      <c r="A37" s="1"/>
      <c r="C37" s="2" t="s">
        <v>84</v>
      </c>
    </row>
    <row r="38" spans="1:8" x14ac:dyDescent="0.5">
      <c r="A38" s="1"/>
      <c r="C38" s="104" t="s">
        <v>173</v>
      </c>
    </row>
    <row r="39" spans="1:8" x14ac:dyDescent="0.5">
      <c r="A39" s="1"/>
      <c r="C39" s="104" t="s">
        <v>77</v>
      </c>
    </row>
    <row r="40" spans="1:8" x14ac:dyDescent="0.5">
      <c r="A40" s="1"/>
      <c r="C40" s="104" t="s">
        <v>92</v>
      </c>
    </row>
    <row r="41" spans="1:8" x14ac:dyDescent="0.5">
      <c r="C41" s="27" t="s">
        <v>5</v>
      </c>
      <c r="D41" s="60">
        <v>1.25</v>
      </c>
      <c r="E41" s="3" t="s">
        <v>73</v>
      </c>
    </row>
    <row r="42" spans="1:8" x14ac:dyDescent="0.5">
      <c r="C42" s="27"/>
      <c r="E42" s="3" t="s">
        <v>74</v>
      </c>
    </row>
    <row r="43" spans="1:8" x14ac:dyDescent="0.5">
      <c r="C43" s="27" t="s">
        <v>34</v>
      </c>
      <c r="D43" s="20">
        <f>D9*D10*1.25*D41</f>
        <v>250</v>
      </c>
      <c r="E43" s="3" t="s">
        <v>31</v>
      </c>
      <c r="H43" s="27"/>
    </row>
    <row r="44" spans="1:8" x14ac:dyDescent="0.5">
      <c r="C44" s="27"/>
      <c r="E44" s="3" t="s">
        <v>78</v>
      </c>
      <c r="H44" s="27"/>
    </row>
    <row r="45" spans="1:8" x14ac:dyDescent="0.5">
      <c r="C45" s="27" t="s">
        <v>59</v>
      </c>
      <c r="D45" s="20">
        <f>D9*Hypervisor.Overhead.CPU</f>
        <v>35</v>
      </c>
      <c r="E45" s="3" t="s">
        <v>36</v>
      </c>
      <c r="H45" s="27"/>
    </row>
    <row r="46" spans="1:8" x14ac:dyDescent="0.5">
      <c r="C46" s="27" t="s">
        <v>33</v>
      </c>
      <c r="D46" s="46">
        <f>D45/D43</f>
        <v>0.14000000000000001</v>
      </c>
      <c r="E46" s="3" t="s">
        <v>38</v>
      </c>
      <c r="H46" s="27"/>
    </row>
    <row r="47" spans="1:8" x14ac:dyDescent="0.5">
      <c r="C47" s="27" t="s">
        <v>35</v>
      </c>
      <c r="D47" s="20">
        <f>D43-D45</f>
        <v>215</v>
      </c>
      <c r="E47" s="3" t="s">
        <v>137</v>
      </c>
      <c r="H47" s="27"/>
    </row>
    <row r="48" spans="1:8" x14ac:dyDescent="0.5">
      <c r="D48" s="105">
        <f>D47/ESXi.CPU.Usable.Capacity.Reservation</f>
        <v>1.4333333333333333</v>
      </c>
      <c r="E48" s="3" t="s">
        <v>126</v>
      </c>
    </row>
    <row r="49" spans="1:5" x14ac:dyDescent="0.5">
      <c r="A49" s="1" t="s">
        <v>95</v>
      </c>
    </row>
    <row r="50" spans="1:5" x14ac:dyDescent="0.5">
      <c r="B50" s="3" t="s">
        <v>123</v>
      </c>
    </row>
    <row r="51" spans="1:5" x14ac:dyDescent="0.5">
      <c r="C51" s="3" t="s">
        <v>59</v>
      </c>
      <c r="D51" s="23">
        <v>64</v>
      </c>
      <c r="E51" s="3" t="s">
        <v>76</v>
      </c>
    </row>
    <row r="52" spans="1:5" x14ac:dyDescent="0.5">
      <c r="C52" s="3" t="s">
        <v>99</v>
      </c>
      <c r="D52" s="12">
        <f>D13-Hypervisor.Overhead.Memory</f>
        <v>704</v>
      </c>
    </row>
    <row r="53" spans="1:5" x14ac:dyDescent="0.5">
      <c r="C53" s="3" t="s">
        <v>93</v>
      </c>
      <c r="D53" s="12">
        <v>0</v>
      </c>
      <c r="E53" s="3" t="s">
        <v>3</v>
      </c>
    </row>
    <row r="54" spans="1:5" x14ac:dyDescent="0.5">
      <c r="E54" s="3" t="s">
        <v>138</v>
      </c>
    </row>
    <row r="55" spans="1:5" x14ac:dyDescent="0.5">
      <c r="C55" s="3" t="s">
        <v>8</v>
      </c>
      <c r="D55" s="12">
        <f>D52+D53</f>
        <v>704</v>
      </c>
      <c r="E55" s="3" t="s">
        <v>139</v>
      </c>
    </row>
    <row r="58" spans="1:5" ht="17.5" customHeight="1" x14ac:dyDescent="0.5">
      <c r="A58" s="1" t="s">
        <v>121</v>
      </c>
    </row>
    <row r="59" spans="1:5" ht="17.5" customHeight="1" x14ac:dyDescent="0.5">
      <c r="A59" s="1"/>
      <c r="B59" s="3" t="s">
        <v>180</v>
      </c>
    </row>
    <row r="60" spans="1:5" ht="17.5" customHeight="1" x14ac:dyDescent="0.5">
      <c r="A60" s="1"/>
      <c r="B60" s="3" t="s">
        <v>181</v>
      </c>
    </row>
    <row r="61" spans="1:5" ht="17.5" customHeight="1" x14ac:dyDescent="0.5">
      <c r="A61" s="1"/>
      <c r="C61" s="3" t="s">
        <v>174</v>
      </c>
    </row>
    <row r="62" spans="1:5" ht="17.5" customHeight="1" x14ac:dyDescent="0.5">
      <c r="A62" s="1"/>
      <c r="C62" s="3" t="s">
        <v>175</v>
      </c>
    </row>
    <row r="63" spans="1:5" ht="17.5" customHeight="1" x14ac:dyDescent="0.5">
      <c r="A63" s="1"/>
      <c r="C63" s="3" t="s">
        <v>176</v>
      </c>
    </row>
    <row r="64" spans="1:5" ht="17.5" customHeight="1" x14ac:dyDescent="0.5">
      <c r="A64" s="1"/>
    </row>
    <row r="65" spans="1:13" ht="17.5" customHeight="1" x14ac:dyDescent="0.4">
      <c r="A65" s="3"/>
      <c r="B65" s="3" t="s">
        <v>122</v>
      </c>
    </row>
    <row r="66" spans="1:13" ht="17.5" customHeight="1" x14ac:dyDescent="0.4">
      <c r="A66" s="3"/>
      <c r="C66" s="93"/>
      <c r="D66" s="9" t="s">
        <v>12</v>
      </c>
      <c r="E66" s="9" t="s">
        <v>13</v>
      </c>
      <c r="F66" s="10" t="s">
        <v>14</v>
      </c>
    </row>
    <row r="67" spans="1:13" ht="17.5" customHeight="1" x14ac:dyDescent="0.4">
      <c r="A67" s="3"/>
      <c r="C67" s="106" t="s">
        <v>7</v>
      </c>
      <c r="D67" s="107"/>
      <c r="E67" s="107"/>
      <c r="F67" s="108"/>
    </row>
    <row r="68" spans="1:13" ht="17.5" customHeight="1" x14ac:dyDescent="0.4">
      <c r="A68" s="3"/>
      <c r="C68" s="111" t="s">
        <v>140</v>
      </c>
      <c r="D68" s="100">
        <v>1</v>
      </c>
      <c r="E68" s="100">
        <v>2</v>
      </c>
      <c r="F68" s="101">
        <v>3</v>
      </c>
    </row>
    <row r="69" spans="1:13" ht="17.5" customHeight="1" x14ac:dyDescent="0.4">
      <c r="A69" s="3"/>
      <c r="C69" s="111" t="s">
        <v>8</v>
      </c>
      <c r="D69" s="82">
        <f>D68*ESXi.CPU.Usable.Capacity.Utilization</f>
        <v>114</v>
      </c>
      <c r="E69" s="82">
        <f>E68*ESXi.CPU.Usable.Capacity.Utilization</f>
        <v>228</v>
      </c>
      <c r="F69" s="11">
        <f>F68*ESXi.CPU.Usable.Capacity.Utilization</f>
        <v>342</v>
      </c>
      <c r="M69" s="27"/>
    </row>
    <row r="70" spans="1:13" ht="17.5" customHeight="1" x14ac:dyDescent="0.4">
      <c r="A70" s="3"/>
      <c r="C70" s="112" t="s">
        <v>9</v>
      </c>
      <c r="D70" s="109"/>
      <c r="E70" s="109"/>
      <c r="F70" s="110"/>
      <c r="M70" s="27"/>
    </row>
    <row r="71" spans="1:13" ht="17.5" customHeight="1" x14ac:dyDescent="0.4">
      <c r="A71" s="3"/>
      <c r="C71" s="111" t="s">
        <v>141</v>
      </c>
      <c r="D71" s="100">
        <v>1</v>
      </c>
      <c r="E71" s="100">
        <v>1.2</v>
      </c>
      <c r="F71" s="101">
        <v>1.4</v>
      </c>
      <c r="M71" s="27"/>
    </row>
    <row r="72" spans="1:13" ht="17.5" customHeight="1" x14ac:dyDescent="0.4">
      <c r="A72" s="3"/>
      <c r="C72" s="111" t="s">
        <v>8</v>
      </c>
      <c r="D72" s="12">
        <f>$D52*D71+$D53</f>
        <v>704</v>
      </c>
      <c r="E72" s="12">
        <f>$D52*E71+$D53</f>
        <v>844.8</v>
      </c>
      <c r="F72" s="13">
        <f>$D52*F71+$D53</f>
        <v>985.59999999999991</v>
      </c>
    </row>
    <row r="73" spans="1:13" ht="17.5" customHeight="1" x14ac:dyDescent="0.4">
      <c r="A73" s="3"/>
      <c r="C73" s="8" t="s">
        <v>37</v>
      </c>
      <c r="D73" s="88">
        <f>D72/D69</f>
        <v>6.1754385964912277</v>
      </c>
      <c r="E73" s="88">
        <f t="shared" ref="E73:F73" si="0">E72/E69</f>
        <v>3.7052631578947368</v>
      </c>
      <c r="F73" s="89">
        <f t="shared" si="0"/>
        <v>2.8818713450292397</v>
      </c>
    </row>
    <row r="74" spans="1:13" ht="17.5" customHeight="1" x14ac:dyDescent="0.4">
      <c r="A74" s="3"/>
      <c r="C74" s="3" t="s">
        <v>142</v>
      </c>
      <c r="D74" s="27"/>
      <c r="E74" s="27"/>
      <c r="F74" s="27"/>
      <c r="G74" s="27"/>
    </row>
    <row r="75" spans="1:13" ht="17.5" customHeight="1" x14ac:dyDescent="0.4">
      <c r="A75" s="3"/>
      <c r="D75" s="27"/>
      <c r="E75" s="27"/>
      <c r="F75" s="27"/>
      <c r="G75" s="27"/>
    </row>
    <row r="76" spans="1:13" ht="17.5" customHeight="1" x14ac:dyDescent="0.4">
      <c r="A76" s="3"/>
      <c r="B76" s="2" t="s">
        <v>143</v>
      </c>
      <c r="D76" s="27"/>
      <c r="E76" s="27"/>
      <c r="F76" s="27"/>
      <c r="G76" s="27"/>
    </row>
    <row r="77" spans="1:13" ht="17.5" customHeight="1" x14ac:dyDescent="0.4">
      <c r="A77" s="3"/>
      <c r="C77" s="3" t="s">
        <v>177</v>
      </c>
      <c r="D77" s="27"/>
      <c r="E77" s="27"/>
      <c r="F77" s="27"/>
      <c r="G77" s="27"/>
    </row>
    <row r="78" spans="1:13" ht="17.5" customHeight="1" x14ac:dyDescent="0.4">
      <c r="A78" s="3"/>
      <c r="C78" s="24" t="s">
        <v>178</v>
      </c>
      <c r="G78" s="27"/>
    </row>
    <row r="79" spans="1:13" ht="17.5" customHeight="1" x14ac:dyDescent="0.4">
      <c r="A79" s="3"/>
      <c r="C79" s="81" t="s">
        <v>106</v>
      </c>
      <c r="D79" s="9" t="s">
        <v>12</v>
      </c>
      <c r="E79" s="9" t="s">
        <v>13</v>
      </c>
      <c r="F79" s="10" t="s">
        <v>14</v>
      </c>
      <c r="G79" s="27"/>
    </row>
    <row r="80" spans="1:13" ht="17.5" customHeight="1" x14ac:dyDescent="0.4">
      <c r="A80" s="3"/>
      <c r="C80" s="7" t="s">
        <v>7</v>
      </c>
      <c r="D80" s="94">
        <f>$F68/D68</f>
        <v>3</v>
      </c>
      <c r="E80" s="94">
        <f t="shared" ref="E80:F80" si="1">$F68/E68</f>
        <v>1.5</v>
      </c>
      <c r="F80" s="95">
        <f t="shared" si="1"/>
        <v>1</v>
      </c>
      <c r="G80" s="27"/>
    </row>
    <row r="81" spans="1:7" ht="17.5" customHeight="1" x14ac:dyDescent="0.4">
      <c r="A81" s="3"/>
      <c r="C81" s="8" t="s">
        <v>9</v>
      </c>
      <c r="D81" s="96">
        <f>$F71/D71</f>
        <v>1.4</v>
      </c>
      <c r="E81" s="96">
        <f t="shared" ref="E81:F81" si="2">$F71/E71</f>
        <v>1.1666666666666667</v>
      </c>
      <c r="F81" s="97">
        <f t="shared" si="2"/>
        <v>1</v>
      </c>
      <c r="G81" s="27"/>
    </row>
  </sheetData>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774DB-7CD6-4DE2-A03C-88A8D44BA73B}">
  <dimension ref="A1:N69"/>
  <sheetViews>
    <sheetView showGridLines="0" topLeftCell="A28" zoomScale="115" zoomScaleNormal="115" workbookViewId="0">
      <selection activeCell="C39" sqref="C39"/>
    </sheetView>
  </sheetViews>
  <sheetFormatPr defaultColWidth="8.765625" defaultRowHeight="17.5" customHeight="1" x14ac:dyDescent="0.4"/>
  <cols>
    <col min="1" max="1" width="4" style="3" customWidth="1"/>
    <col min="2" max="2" width="44.15234375" style="3" customWidth="1"/>
    <col min="3" max="3" width="11.765625" style="3" customWidth="1"/>
    <col min="4" max="5" width="12.765625" style="3" customWidth="1"/>
    <col min="6" max="6" width="0.921875" style="3" customWidth="1"/>
    <col min="7" max="11" width="12.765625" style="3" customWidth="1"/>
    <col min="12" max="12" width="8.765625" style="3"/>
    <col min="13" max="13" width="10.07421875" style="3" customWidth="1"/>
    <col min="14" max="14" width="15.3828125" style="3" customWidth="1"/>
    <col min="15" max="18" width="15.4609375" style="3" customWidth="1"/>
    <col min="19" max="16384" width="8.765625" style="3"/>
  </cols>
  <sheetData>
    <row r="1" spans="1:6" ht="17.5" customHeight="1" x14ac:dyDescent="0.5">
      <c r="A1" s="1" t="s">
        <v>88</v>
      </c>
    </row>
    <row r="2" spans="1:6" ht="17.5" customHeight="1" x14ac:dyDescent="0.4">
      <c r="B2" s="3" t="s">
        <v>150</v>
      </c>
    </row>
    <row r="3" spans="1:6" ht="6" customHeight="1" x14ac:dyDescent="0.4">
      <c r="B3" s="2"/>
    </row>
    <row r="4" spans="1:6" ht="17.5" customHeight="1" x14ac:dyDescent="0.4">
      <c r="B4" s="81" t="s">
        <v>8</v>
      </c>
      <c r="C4" s="9" t="s">
        <v>7</v>
      </c>
      <c r="D4" s="10" t="s">
        <v>9</v>
      </c>
    </row>
    <row r="5" spans="1:6" ht="17.5" customHeight="1" x14ac:dyDescent="0.4">
      <c r="B5" s="92" t="s">
        <v>18</v>
      </c>
      <c r="C5" s="82">
        <f>'Capacity Provider'!F69</f>
        <v>342</v>
      </c>
      <c r="D5" s="13">
        <f>'Capacity Provider'!F72</f>
        <v>985.59999999999991</v>
      </c>
    </row>
    <row r="6" spans="1:6" ht="17.5" customHeight="1" x14ac:dyDescent="0.4">
      <c r="B6" s="92" t="s">
        <v>15</v>
      </c>
      <c r="C6" s="20">
        <f>'Capacity Provider'!D36</f>
        <v>150</v>
      </c>
      <c r="D6" s="13">
        <f>'Capacity Provider'!D55</f>
        <v>704</v>
      </c>
    </row>
    <row r="7" spans="1:6" ht="17.5" customHeight="1" x14ac:dyDescent="0.4">
      <c r="B7" s="118" t="s">
        <v>96</v>
      </c>
      <c r="C7" s="102">
        <f>'Capacity Provider'!D32</f>
        <v>114</v>
      </c>
      <c r="D7" s="86">
        <f>'Capacity Provider'!D55</f>
        <v>704</v>
      </c>
    </row>
    <row r="8" spans="1:6" ht="17.5" customHeight="1" x14ac:dyDescent="0.4">
      <c r="B8" s="2"/>
    </row>
    <row r="10" spans="1:6" ht="17.5" customHeight="1" x14ac:dyDescent="0.5">
      <c r="A10" s="1" t="s">
        <v>16</v>
      </c>
    </row>
    <row r="11" spans="1:6" ht="17.5" customHeight="1" x14ac:dyDescent="0.4">
      <c r="B11" s="3" t="s">
        <v>127</v>
      </c>
    </row>
    <row r="12" spans="1:6" ht="17.5" customHeight="1" x14ac:dyDescent="0.4">
      <c r="B12" s="3" t="s">
        <v>144</v>
      </c>
    </row>
    <row r="13" spans="1:6" ht="17.5" customHeight="1" x14ac:dyDescent="0.4">
      <c r="B13" s="3" t="s">
        <v>42</v>
      </c>
      <c r="C13" s="23">
        <v>4</v>
      </c>
      <c r="D13" s="3" t="s">
        <v>145</v>
      </c>
    </row>
    <row r="14" spans="1:6" ht="17.5" customHeight="1" x14ac:dyDescent="0.4">
      <c r="B14" s="3" t="s">
        <v>0</v>
      </c>
      <c r="C14" s="113">
        <f>'Capacity Provider'!D9</f>
        <v>2.5</v>
      </c>
    </row>
    <row r="16" spans="1:6" s="43" customFormat="1" ht="17.5" customHeight="1" x14ac:dyDescent="0.4">
      <c r="B16" s="54" t="s">
        <v>44</v>
      </c>
      <c r="C16" s="58" t="s">
        <v>12</v>
      </c>
      <c r="D16" s="58" t="s">
        <v>13</v>
      </c>
      <c r="E16" s="59" t="s">
        <v>14</v>
      </c>
      <c r="F16" s="3"/>
    </row>
    <row r="17" spans="2:6" s="43" customFormat="1" ht="17.5" customHeight="1" x14ac:dyDescent="0.4">
      <c r="B17" s="98" t="s">
        <v>18</v>
      </c>
      <c r="C17" s="114"/>
      <c r="D17" s="114"/>
      <c r="E17" s="99"/>
      <c r="F17" s="3"/>
    </row>
    <row r="18" spans="2:6" ht="17.5" customHeight="1" x14ac:dyDescent="0.4">
      <c r="B18" s="14" t="s">
        <v>43</v>
      </c>
      <c r="C18" s="115">
        <f>D18*2</f>
        <v>16</v>
      </c>
      <c r="D18" s="115">
        <f>E18*2</f>
        <v>8</v>
      </c>
      <c r="E18" s="16">
        <v>4</v>
      </c>
    </row>
    <row r="19" spans="2:6" ht="17.5" customHeight="1" x14ac:dyDescent="0.4">
      <c r="B19" s="14" t="s">
        <v>45</v>
      </c>
      <c r="C19" s="23">
        <f>C18*C13</f>
        <v>64</v>
      </c>
      <c r="D19" s="23">
        <f>D18*C13</f>
        <v>32</v>
      </c>
      <c r="E19" s="25">
        <f>E18*C13</f>
        <v>16</v>
      </c>
    </row>
    <row r="20" spans="2:6" ht="17.5" customHeight="1" x14ac:dyDescent="0.4">
      <c r="B20" s="14" t="s">
        <v>146</v>
      </c>
      <c r="C20" s="114"/>
      <c r="D20" s="114"/>
      <c r="E20" s="99"/>
    </row>
    <row r="21" spans="2:6" s="43" customFormat="1" ht="17.5" customHeight="1" x14ac:dyDescent="0.4">
      <c r="B21" s="98" t="s">
        <v>96</v>
      </c>
      <c r="C21" s="114"/>
      <c r="D21" s="114"/>
      <c r="E21" s="99"/>
      <c r="F21" s="3"/>
    </row>
    <row r="22" spans="2:6" s="43" customFormat="1" ht="17.5" customHeight="1" x14ac:dyDescent="0.4">
      <c r="B22" s="14" t="s">
        <v>189</v>
      </c>
      <c r="C22" s="62">
        <v>0.35</v>
      </c>
      <c r="D22" s="62">
        <v>0.5</v>
      </c>
      <c r="E22" s="61">
        <v>0.65</v>
      </c>
      <c r="F22" s="3"/>
    </row>
    <row r="23" spans="2:6" s="43" customFormat="1" ht="17.5" customHeight="1" x14ac:dyDescent="0.4">
      <c r="B23" s="14" t="s">
        <v>109</v>
      </c>
      <c r="C23" s="82">
        <f>C18*C22</f>
        <v>5.6</v>
      </c>
      <c r="D23" s="82">
        <f>D18*D22</f>
        <v>4</v>
      </c>
      <c r="E23" s="11">
        <f>E18*E22</f>
        <v>2.6</v>
      </c>
      <c r="F23" s="3"/>
    </row>
    <row r="24" spans="2:6" ht="17.5" customHeight="1" x14ac:dyDescent="0.4">
      <c r="B24" s="14" t="s">
        <v>190</v>
      </c>
      <c r="C24" s="62">
        <v>0.85</v>
      </c>
      <c r="D24" s="62">
        <f>C24</f>
        <v>0.85</v>
      </c>
      <c r="E24" s="61">
        <f>D24</f>
        <v>0.85</v>
      </c>
    </row>
    <row r="25" spans="2:6" ht="17.5" customHeight="1" x14ac:dyDescent="0.4">
      <c r="B25" s="14" t="s">
        <v>110</v>
      </c>
      <c r="C25" s="12">
        <f>C19*C24</f>
        <v>54.4</v>
      </c>
      <c r="D25" s="12">
        <f>D19*D24</f>
        <v>27.2</v>
      </c>
      <c r="E25" s="13">
        <f>E19*E24</f>
        <v>13.6</v>
      </c>
    </row>
    <row r="26" spans="2:6" s="43" customFormat="1" ht="17.5" customHeight="1" x14ac:dyDescent="0.4">
      <c r="B26" s="98" t="s">
        <v>15</v>
      </c>
      <c r="C26" s="114"/>
      <c r="D26" s="114"/>
      <c r="E26" s="99"/>
      <c r="F26" s="3"/>
    </row>
    <row r="27" spans="2:6" s="43" customFormat="1" ht="17.5" customHeight="1" x14ac:dyDescent="0.4">
      <c r="B27" s="14" t="s">
        <v>107</v>
      </c>
      <c r="C27" s="62">
        <v>0.5</v>
      </c>
      <c r="D27" s="62">
        <f>C27/2</f>
        <v>0.25</v>
      </c>
      <c r="E27" s="61">
        <f>D27/2</f>
        <v>0.125</v>
      </c>
      <c r="F27" s="3"/>
    </row>
    <row r="28" spans="2:6" s="43" customFormat="1" ht="17.5" customHeight="1" x14ac:dyDescent="0.4">
      <c r="B28" s="14" t="s">
        <v>109</v>
      </c>
      <c r="C28" s="20">
        <f>C18*C27*$C14</f>
        <v>20</v>
      </c>
      <c r="D28" s="20">
        <f>D18*D27*$C14</f>
        <v>5</v>
      </c>
      <c r="E28" s="90">
        <f>E18*E27*$C14</f>
        <v>1.25</v>
      </c>
      <c r="F28" s="3"/>
    </row>
    <row r="29" spans="2:6" ht="17.5" customHeight="1" x14ac:dyDescent="0.4">
      <c r="B29" s="14" t="s">
        <v>108</v>
      </c>
      <c r="C29" s="62">
        <v>1</v>
      </c>
      <c r="D29" s="62">
        <v>0.5</v>
      </c>
      <c r="E29" s="61">
        <v>0.25</v>
      </c>
    </row>
    <row r="30" spans="2:6" ht="17.5" customHeight="1" x14ac:dyDescent="0.4">
      <c r="B30" s="14" t="s">
        <v>110</v>
      </c>
      <c r="C30" s="12">
        <f>C19*C29</f>
        <v>64</v>
      </c>
      <c r="D30" s="12">
        <f>D19*D29</f>
        <v>16</v>
      </c>
      <c r="E30" s="13">
        <f>E19*E29</f>
        <v>4</v>
      </c>
    </row>
    <row r="31" spans="2:6" ht="17.5" customHeight="1" x14ac:dyDescent="0.4">
      <c r="B31" s="14" t="s">
        <v>147</v>
      </c>
      <c r="C31" s="114"/>
      <c r="D31" s="114"/>
      <c r="E31" s="99"/>
    </row>
    <row r="32" spans="2:6" ht="17.5" customHeight="1" x14ac:dyDescent="0.4">
      <c r="B32" s="15" t="s">
        <v>128</v>
      </c>
      <c r="C32" s="116"/>
      <c r="D32" s="116"/>
      <c r="E32" s="117"/>
    </row>
    <row r="33" spans="1:14" ht="17.5" customHeight="1" x14ac:dyDescent="0.4">
      <c r="B33" s="24" t="s">
        <v>41</v>
      </c>
    </row>
    <row r="34" spans="1:14" ht="18.45" x14ac:dyDescent="0.5">
      <c r="A34" s="4"/>
    </row>
    <row r="35" spans="1:14" ht="17.5" customHeight="1" x14ac:dyDescent="0.4">
      <c r="B35" s="28"/>
    </row>
    <row r="36" spans="1:14" ht="17.5" customHeight="1" x14ac:dyDescent="0.5">
      <c r="A36" s="1" t="s">
        <v>100</v>
      </c>
    </row>
    <row r="37" spans="1:14" ht="17.5" customHeight="1" x14ac:dyDescent="0.5">
      <c r="A37" s="1"/>
      <c r="B37" s="3" t="s">
        <v>130</v>
      </c>
    </row>
    <row r="38" spans="1:14" ht="17.5" customHeight="1" x14ac:dyDescent="0.4">
      <c r="B38" s="24" t="s">
        <v>46</v>
      </c>
    </row>
    <row r="39" spans="1:14" ht="17.5" customHeight="1" x14ac:dyDescent="0.4">
      <c r="B39" s="104" t="s">
        <v>149</v>
      </c>
    </row>
    <row r="40" spans="1:14" ht="17.5" customHeight="1" x14ac:dyDescent="0.4">
      <c r="B40" s="104" t="s">
        <v>148</v>
      </c>
    </row>
    <row r="41" spans="1:14" ht="17.5" customHeight="1" x14ac:dyDescent="0.4">
      <c r="B41" s="104" t="s">
        <v>82</v>
      </c>
    </row>
    <row r="42" spans="1:14" ht="17.5" customHeight="1" x14ac:dyDescent="0.4">
      <c r="B42" s="104" t="s">
        <v>105</v>
      </c>
    </row>
    <row r="43" spans="1:14" ht="17.5" customHeight="1" x14ac:dyDescent="0.5">
      <c r="A43" s="1"/>
    </row>
    <row r="44" spans="1:14" ht="17.5" customHeight="1" thickBot="1" x14ac:dyDescent="0.5">
      <c r="B44" s="91" t="s">
        <v>101</v>
      </c>
    </row>
    <row r="45" spans="1:14" ht="17.5" customHeight="1" x14ac:dyDescent="0.4">
      <c r="B45" s="142" t="s">
        <v>10</v>
      </c>
      <c r="C45" s="138" t="s">
        <v>17</v>
      </c>
      <c r="D45" s="138" t="s">
        <v>64</v>
      </c>
      <c r="E45" s="138" t="s">
        <v>65</v>
      </c>
      <c r="F45" s="121"/>
      <c r="G45" s="136" t="s">
        <v>79</v>
      </c>
      <c r="H45" s="140"/>
      <c r="I45" s="140"/>
      <c r="J45" s="141"/>
      <c r="K45" s="136" t="s">
        <v>80</v>
      </c>
      <c r="L45" s="140"/>
      <c r="M45" s="136" t="s">
        <v>81</v>
      </c>
      <c r="N45" s="137"/>
    </row>
    <row r="46" spans="1:14" ht="17.5" customHeight="1" x14ac:dyDescent="0.4">
      <c r="B46" s="143"/>
      <c r="C46" s="139"/>
      <c r="D46" s="139"/>
      <c r="E46" s="139"/>
      <c r="G46" s="17" t="s">
        <v>27</v>
      </c>
      <c r="H46" s="18" t="s">
        <v>7</v>
      </c>
      <c r="I46" s="18" t="s">
        <v>28</v>
      </c>
      <c r="J46" s="19" t="s">
        <v>9</v>
      </c>
      <c r="K46" s="18" t="s">
        <v>7</v>
      </c>
      <c r="L46" s="18" t="s">
        <v>9</v>
      </c>
      <c r="M46" s="17" t="s">
        <v>7</v>
      </c>
      <c r="N46" s="122" t="s">
        <v>9</v>
      </c>
    </row>
    <row r="47" spans="1:14" ht="17.5" customHeight="1" x14ac:dyDescent="0.4">
      <c r="B47" s="123" t="s">
        <v>19</v>
      </c>
      <c r="C47" s="29">
        <v>6</v>
      </c>
      <c r="D47" s="39">
        <f>C47*C18</f>
        <v>96</v>
      </c>
      <c r="E47" s="39">
        <f>C47*C$19</f>
        <v>384</v>
      </c>
      <c r="G47" s="79">
        <f>'Capacity Provider'!D80</f>
        <v>3</v>
      </c>
      <c r="H47" s="82">
        <f>C47*C$18*G47</f>
        <v>288</v>
      </c>
      <c r="I47" s="94">
        <f>'Capacity Provider'!D81</f>
        <v>1.4</v>
      </c>
      <c r="J47" s="13">
        <f>C47*C$19*I47</f>
        <v>537.59999999999991</v>
      </c>
      <c r="K47" s="20">
        <f>C47*C$28</f>
        <v>120</v>
      </c>
      <c r="L47" s="12">
        <f>C47*C$30</f>
        <v>384</v>
      </c>
      <c r="M47" s="69">
        <f>D47*C$22</f>
        <v>33.599999999999994</v>
      </c>
      <c r="N47" s="124">
        <f>E47*C$24</f>
        <v>326.39999999999998</v>
      </c>
    </row>
    <row r="48" spans="1:14" ht="17.5" customHeight="1" x14ac:dyDescent="0.4">
      <c r="B48" s="123" t="s">
        <v>20</v>
      </c>
      <c r="C48" s="29">
        <v>4</v>
      </c>
      <c r="D48" s="39">
        <f>C48*D18</f>
        <v>32</v>
      </c>
      <c r="E48" s="39">
        <f>C48*D$19</f>
        <v>128</v>
      </c>
      <c r="G48" s="79">
        <f>'Capacity Provider'!E80</f>
        <v>1.5</v>
      </c>
      <c r="H48" s="82">
        <f>C48*D$18*G48</f>
        <v>48</v>
      </c>
      <c r="I48" s="94">
        <f>'Capacity Provider'!E81</f>
        <v>1.1666666666666667</v>
      </c>
      <c r="J48" s="13">
        <f>C48*D$19*I48</f>
        <v>149.33333333333334</v>
      </c>
      <c r="K48" s="20">
        <f>C48*D$28</f>
        <v>20</v>
      </c>
      <c r="L48" s="12">
        <f>C48*D$30</f>
        <v>64</v>
      </c>
      <c r="M48" s="70">
        <f>D48*D$22</f>
        <v>16</v>
      </c>
      <c r="N48" s="125">
        <f>E48*D$24</f>
        <v>108.8</v>
      </c>
    </row>
    <row r="49" spans="2:14" ht="17.5" customHeight="1" x14ac:dyDescent="0.4">
      <c r="B49" s="123" t="s">
        <v>21</v>
      </c>
      <c r="C49" s="29">
        <v>2</v>
      </c>
      <c r="D49" s="39">
        <f>C49*E18</f>
        <v>8</v>
      </c>
      <c r="E49" s="39">
        <f>C49*E$19</f>
        <v>32</v>
      </c>
      <c r="G49" s="79">
        <v>1</v>
      </c>
      <c r="H49" s="82">
        <f>C49*E$18</f>
        <v>8</v>
      </c>
      <c r="I49" s="94">
        <v>1</v>
      </c>
      <c r="J49" s="13">
        <f>C49*E$19</f>
        <v>32</v>
      </c>
      <c r="K49" s="20">
        <f>C49*E$28</f>
        <v>2.5</v>
      </c>
      <c r="L49" s="12">
        <f>C49*E$30</f>
        <v>8</v>
      </c>
      <c r="M49" s="70">
        <f>D49*E$22</f>
        <v>5.2</v>
      </c>
      <c r="N49" s="125">
        <f>E49*E$24</f>
        <v>27.2</v>
      </c>
    </row>
    <row r="50" spans="2:14" ht="17.5" customHeight="1" thickBot="1" x14ac:dyDescent="0.45">
      <c r="B50" s="126" t="s">
        <v>22</v>
      </c>
      <c r="C50" s="65">
        <f>SUM(C47:C49)</f>
        <v>12</v>
      </c>
      <c r="D50" s="65">
        <f>SUM(D47:D49)</f>
        <v>136</v>
      </c>
      <c r="E50" s="65">
        <f>SUM(E47:E49)</f>
        <v>544</v>
      </c>
      <c r="G50" s="63"/>
      <c r="H50" s="127">
        <f>SUM(H47:H49)</f>
        <v>344</v>
      </c>
      <c r="I50" s="127"/>
      <c r="J50" s="64">
        <f>SUM(J47:J49)</f>
        <v>718.93333333333328</v>
      </c>
      <c r="K50" s="128">
        <f>SUM(K47:K49)</f>
        <v>142.5</v>
      </c>
      <c r="L50" s="129">
        <f>SUM(L47:L49)</f>
        <v>456</v>
      </c>
      <c r="M50" s="71">
        <f>SUM(M47:M49)</f>
        <v>54.8</v>
      </c>
      <c r="N50" s="130">
        <f>SUM(N47:N49)</f>
        <v>462.4</v>
      </c>
    </row>
    <row r="51" spans="2:14" s="43" customFormat="1" ht="20.05" customHeight="1" thickBot="1" x14ac:dyDescent="0.45">
      <c r="B51" s="66" t="s">
        <v>47</v>
      </c>
      <c r="C51" s="67"/>
      <c r="D51" s="67"/>
      <c r="E51" s="67"/>
      <c r="F51" s="67"/>
      <c r="G51" s="67"/>
      <c r="H51" s="132">
        <f>H50/C$5</f>
        <v>1.0058479532163742</v>
      </c>
      <c r="I51" s="132"/>
      <c r="J51" s="133">
        <f>J50/D$5</f>
        <v>0.72943722943722944</v>
      </c>
      <c r="K51" s="132">
        <f>K50/C$6</f>
        <v>0.95</v>
      </c>
      <c r="L51" s="132">
        <f>L50/D$6</f>
        <v>0.64772727272727271</v>
      </c>
      <c r="M51" s="134">
        <f>(M50+'Capacity Provider'!D$29)/'Capacity Provider'!D$32</f>
        <v>0.60350877192982455</v>
      </c>
      <c r="N51" s="135">
        <f>(N50+'Capacity Provider'!D$51)/'Capacity Provider'!D$55</f>
        <v>0.74772727272727268</v>
      </c>
    </row>
    <row r="53" spans="2:14" ht="17.5" customHeight="1" thickBot="1" x14ac:dyDescent="0.5">
      <c r="B53" s="91" t="s">
        <v>102</v>
      </c>
    </row>
    <row r="54" spans="2:14" ht="17.5" customHeight="1" x14ac:dyDescent="0.4">
      <c r="B54" s="142" t="s">
        <v>10</v>
      </c>
      <c r="C54" s="138" t="s">
        <v>17</v>
      </c>
      <c r="D54" s="138" t="s">
        <v>64</v>
      </c>
      <c r="E54" s="138" t="s">
        <v>65</v>
      </c>
      <c r="F54" s="121"/>
      <c r="G54" s="136" t="s">
        <v>79</v>
      </c>
      <c r="H54" s="140"/>
      <c r="I54" s="140"/>
      <c r="J54" s="141"/>
      <c r="K54" s="136" t="s">
        <v>80</v>
      </c>
      <c r="L54" s="140"/>
      <c r="M54" s="136" t="s">
        <v>81</v>
      </c>
      <c r="N54" s="137"/>
    </row>
    <row r="55" spans="2:14" ht="17.5" customHeight="1" x14ac:dyDescent="0.4">
      <c r="B55" s="143"/>
      <c r="C55" s="139"/>
      <c r="D55" s="139"/>
      <c r="E55" s="139"/>
      <c r="G55" s="17" t="s">
        <v>27</v>
      </c>
      <c r="H55" s="18" t="s">
        <v>7</v>
      </c>
      <c r="I55" s="18" t="s">
        <v>28</v>
      </c>
      <c r="J55" s="19" t="s">
        <v>9</v>
      </c>
      <c r="K55" s="18" t="s">
        <v>7</v>
      </c>
      <c r="L55" s="18" t="s">
        <v>9</v>
      </c>
      <c r="M55" s="17" t="s">
        <v>7</v>
      </c>
      <c r="N55" s="122" t="s">
        <v>9</v>
      </c>
    </row>
    <row r="56" spans="2:14" ht="17.5" customHeight="1" x14ac:dyDescent="0.4">
      <c r="B56" s="123" t="s">
        <v>19</v>
      </c>
      <c r="C56" s="29">
        <v>2</v>
      </c>
      <c r="D56" s="39">
        <f>C56*C$18</f>
        <v>32</v>
      </c>
      <c r="E56" s="39">
        <f>C56*C$19</f>
        <v>128</v>
      </c>
      <c r="G56" s="79">
        <f>G47</f>
        <v>3</v>
      </c>
      <c r="H56" s="82">
        <f>C56*C$18*G56</f>
        <v>96</v>
      </c>
      <c r="I56" s="94">
        <f>I47</f>
        <v>1.4</v>
      </c>
      <c r="J56" s="13">
        <f>C56*C$19*I56</f>
        <v>179.2</v>
      </c>
      <c r="K56" s="20">
        <f>C56*C$28</f>
        <v>40</v>
      </c>
      <c r="L56" s="12">
        <f>C56*C$30</f>
        <v>128</v>
      </c>
      <c r="M56" s="69">
        <f>D56*C$22</f>
        <v>11.2</v>
      </c>
      <c r="N56" s="124">
        <f>E56*C$24</f>
        <v>108.8</v>
      </c>
    </row>
    <row r="57" spans="2:14" ht="17.5" customHeight="1" x14ac:dyDescent="0.4">
      <c r="B57" s="123" t="s">
        <v>20</v>
      </c>
      <c r="C57" s="29">
        <v>18</v>
      </c>
      <c r="D57" s="39">
        <f>C57*D$18</f>
        <v>144</v>
      </c>
      <c r="E57" s="39">
        <f>C57*D$19</f>
        <v>576</v>
      </c>
      <c r="G57" s="79">
        <f>G48</f>
        <v>1.5</v>
      </c>
      <c r="H57" s="82">
        <f>C57*D$18*G57</f>
        <v>216</v>
      </c>
      <c r="I57" s="94">
        <f>I48</f>
        <v>1.1666666666666667</v>
      </c>
      <c r="J57" s="13">
        <f>C57*D$19*I57</f>
        <v>672</v>
      </c>
      <c r="K57" s="20">
        <f>C57*D$28</f>
        <v>90</v>
      </c>
      <c r="L57" s="12">
        <f>C57*D$30</f>
        <v>288</v>
      </c>
      <c r="M57" s="70">
        <f>D57*D$22</f>
        <v>72</v>
      </c>
      <c r="N57" s="125">
        <f>E57*D$24</f>
        <v>489.59999999999997</v>
      </c>
    </row>
    <row r="58" spans="2:14" ht="17.5" customHeight="1" x14ac:dyDescent="0.4">
      <c r="B58" s="123" t="s">
        <v>21</v>
      </c>
      <c r="C58" s="29">
        <v>4</v>
      </c>
      <c r="D58" s="39">
        <f>C58*E$18</f>
        <v>16</v>
      </c>
      <c r="E58" s="39">
        <f>C58*E$19</f>
        <v>64</v>
      </c>
      <c r="G58" s="79">
        <f>G49</f>
        <v>1</v>
      </c>
      <c r="H58" s="82">
        <f>C58*E$18</f>
        <v>16</v>
      </c>
      <c r="I58" s="94">
        <f>I49</f>
        <v>1</v>
      </c>
      <c r="J58" s="13">
        <f>C58*E$19</f>
        <v>64</v>
      </c>
      <c r="K58" s="20">
        <f>C58*E$28</f>
        <v>5</v>
      </c>
      <c r="L58" s="12">
        <f>C58*E$30</f>
        <v>16</v>
      </c>
      <c r="M58" s="70">
        <f>D58*E$22</f>
        <v>10.4</v>
      </c>
      <c r="N58" s="125">
        <f>E58*E$24</f>
        <v>54.4</v>
      </c>
    </row>
    <row r="59" spans="2:14" ht="17.5" customHeight="1" thickBot="1" x14ac:dyDescent="0.45">
      <c r="B59" s="126" t="s">
        <v>22</v>
      </c>
      <c r="C59" s="65">
        <f>SUM(C56:C58)</f>
        <v>24</v>
      </c>
      <c r="D59" s="65">
        <f>SUM(D56:D58)</f>
        <v>192</v>
      </c>
      <c r="E59" s="65">
        <f>SUM(E56:E58)</f>
        <v>768</v>
      </c>
      <c r="G59" s="63"/>
      <c r="H59" s="127">
        <f>SUM(H56:H58)</f>
        <v>328</v>
      </c>
      <c r="I59" s="127"/>
      <c r="J59" s="64">
        <f>SUM(J56:J58)</f>
        <v>915.2</v>
      </c>
      <c r="K59" s="128">
        <f>SUM(K56:K58)</f>
        <v>135</v>
      </c>
      <c r="L59" s="129">
        <f>SUM(L56:L58)</f>
        <v>432</v>
      </c>
      <c r="M59" s="71">
        <f>SUM(M56:M58)</f>
        <v>93.600000000000009</v>
      </c>
      <c r="N59" s="131">
        <f>SUM(N56:N58)</f>
        <v>652.79999999999995</v>
      </c>
    </row>
    <row r="60" spans="2:14" s="43" customFormat="1" ht="20.05" customHeight="1" thickBot="1" x14ac:dyDescent="0.45">
      <c r="B60" s="66" t="s">
        <v>47</v>
      </c>
      <c r="C60" s="67"/>
      <c r="D60" s="67"/>
      <c r="E60" s="67"/>
      <c r="F60" s="67"/>
      <c r="G60" s="67"/>
      <c r="H60" s="132">
        <f>H59/C$5</f>
        <v>0.95906432748538006</v>
      </c>
      <c r="I60" s="132"/>
      <c r="J60" s="133">
        <f>J59/D$5</f>
        <v>0.92857142857142871</v>
      </c>
      <c r="K60" s="132">
        <f>K59/C$6</f>
        <v>0.9</v>
      </c>
      <c r="L60" s="132">
        <f>L59/D$6</f>
        <v>0.61363636363636365</v>
      </c>
      <c r="M60" s="134">
        <f>(M59+'Capacity Provider'!D$29)/'Capacity Provider'!D$32</f>
        <v>0.94385964912280707</v>
      </c>
      <c r="N60" s="135">
        <f>(N59+'Capacity Provider'!D$51)/'Capacity Provider'!D$55</f>
        <v>1.0181818181818181</v>
      </c>
    </row>
    <row r="62" spans="2:14" ht="17.5" customHeight="1" thickBot="1" x14ac:dyDescent="0.5">
      <c r="B62" s="91" t="s">
        <v>103</v>
      </c>
    </row>
    <row r="63" spans="2:14" ht="17.5" customHeight="1" x14ac:dyDescent="0.4">
      <c r="B63" s="142" t="s">
        <v>10</v>
      </c>
      <c r="C63" s="138" t="s">
        <v>17</v>
      </c>
      <c r="D63" s="138" t="s">
        <v>64</v>
      </c>
      <c r="E63" s="138" t="s">
        <v>65</v>
      </c>
      <c r="F63" s="121"/>
      <c r="G63" s="136" t="s">
        <v>79</v>
      </c>
      <c r="H63" s="140"/>
      <c r="I63" s="140"/>
      <c r="J63" s="141"/>
      <c r="K63" s="136" t="s">
        <v>80</v>
      </c>
      <c r="L63" s="140"/>
      <c r="M63" s="136" t="s">
        <v>81</v>
      </c>
      <c r="N63" s="137"/>
    </row>
    <row r="64" spans="2:14" ht="17.5" customHeight="1" x14ac:dyDescent="0.4">
      <c r="B64" s="143"/>
      <c r="C64" s="139"/>
      <c r="D64" s="139"/>
      <c r="E64" s="139"/>
      <c r="G64" s="17" t="s">
        <v>27</v>
      </c>
      <c r="H64" s="18" t="s">
        <v>7</v>
      </c>
      <c r="I64" s="18" t="s">
        <v>26</v>
      </c>
      <c r="J64" s="19" t="s">
        <v>9</v>
      </c>
      <c r="K64" s="18" t="s">
        <v>7</v>
      </c>
      <c r="L64" s="18" t="s">
        <v>9</v>
      </c>
      <c r="M64" s="17" t="s">
        <v>7</v>
      </c>
      <c r="N64" s="122" t="s">
        <v>9</v>
      </c>
    </row>
    <row r="65" spans="2:14" ht="17.5" customHeight="1" x14ac:dyDescent="0.4">
      <c r="B65" s="123" t="s">
        <v>19</v>
      </c>
      <c r="C65" s="29">
        <v>1</v>
      </c>
      <c r="D65" s="39">
        <f>C65*C$18</f>
        <v>16</v>
      </c>
      <c r="E65" s="39">
        <f>C65*C$19</f>
        <v>64</v>
      </c>
      <c r="G65" s="79">
        <f>G47</f>
        <v>3</v>
      </c>
      <c r="H65" s="82">
        <f>C65*C$18*G65</f>
        <v>48</v>
      </c>
      <c r="I65" s="94">
        <f>I56</f>
        <v>1.4</v>
      </c>
      <c r="J65" s="13">
        <f>I65*C$19*C65</f>
        <v>89.6</v>
      </c>
      <c r="K65" s="20">
        <f>C65*C$28</f>
        <v>20</v>
      </c>
      <c r="L65" s="12">
        <f>C65*C$30</f>
        <v>64</v>
      </c>
      <c r="M65" s="69">
        <f>D65*C$22</f>
        <v>5.6</v>
      </c>
      <c r="N65" s="124">
        <f>E65*C$24</f>
        <v>54.4</v>
      </c>
    </row>
    <row r="66" spans="2:14" ht="17.5" customHeight="1" x14ac:dyDescent="0.4">
      <c r="B66" s="123" t="s">
        <v>20</v>
      </c>
      <c r="C66" s="29">
        <v>5</v>
      </c>
      <c r="D66" s="39">
        <f>C66*D$18</f>
        <v>40</v>
      </c>
      <c r="E66" s="39">
        <f>C66*D$19</f>
        <v>160</v>
      </c>
      <c r="G66" s="79">
        <f>G48</f>
        <v>1.5</v>
      </c>
      <c r="H66" s="82">
        <f>C66*D$18*G66</f>
        <v>60</v>
      </c>
      <c r="I66" s="94">
        <f>I57</f>
        <v>1.1666666666666667</v>
      </c>
      <c r="J66" s="13">
        <f>C66*D$19*I66</f>
        <v>186.66666666666669</v>
      </c>
      <c r="K66" s="20">
        <f>C66*D$28</f>
        <v>25</v>
      </c>
      <c r="L66" s="12">
        <f>C66*D$30</f>
        <v>80</v>
      </c>
      <c r="M66" s="70">
        <f>D66*D$22</f>
        <v>20</v>
      </c>
      <c r="N66" s="125">
        <f>E66*D$24</f>
        <v>136</v>
      </c>
    </row>
    <row r="67" spans="2:14" ht="17.5" customHeight="1" x14ac:dyDescent="0.4">
      <c r="B67" s="123" t="s">
        <v>21</v>
      </c>
      <c r="C67" s="29">
        <v>29</v>
      </c>
      <c r="D67" s="39">
        <f>C67*E$18</f>
        <v>116</v>
      </c>
      <c r="E67" s="39">
        <f>C67*E$19</f>
        <v>464</v>
      </c>
      <c r="G67" s="79">
        <f>G49</f>
        <v>1</v>
      </c>
      <c r="H67" s="82">
        <f>C67*E$18</f>
        <v>116</v>
      </c>
      <c r="I67" s="94">
        <f>I49</f>
        <v>1</v>
      </c>
      <c r="J67" s="13">
        <f>C67*E$19</f>
        <v>464</v>
      </c>
      <c r="K67" s="20">
        <f>C67*E$28</f>
        <v>36.25</v>
      </c>
      <c r="L67" s="12">
        <f>C67*E$30</f>
        <v>116</v>
      </c>
      <c r="M67" s="70">
        <f>D67*E$22</f>
        <v>75.400000000000006</v>
      </c>
      <c r="N67" s="125">
        <f>E67*E$24</f>
        <v>394.4</v>
      </c>
    </row>
    <row r="68" spans="2:14" ht="17.5" customHeight="1" thickBot="1" x14ac:dyDescent="0.45">
      <c r="B68" s="126" t="s">
        <v>22</v>
      </c>
      <c r="C68" s="65">
        <f>SUM(C65:C67)</f>
        <v>35</v>
      </c>
      <c r="D68" s="65">
        <f>SUM(D65:D67)</f>
        <v>172</v>
      </c>
      <c r="E68" s="65">
        <f>SUM(E65:E67)</f>
        <v>688</v>
      </c>
      <c r="G68" s="63"/>
      <c r="H68" s="127">
        <f>SUM(H65:H67)</f>
        <v>224</v>
      </c>
      <c r="I68" s="127"/>
      <c r="J68" s="64">
        <f>SUM(J65:J67)</f>
        <v>740.26666666666665</v>
      </c>
      <c r="K68" s="128">
        <f>SUM(K65:K67)</f>
        <v>81.25</v>
      </c>
      <c r="L68" s="129">
        <f>SUM(L65:L67)</f>
        <v>260</v>
      </c>
      <c r="M68" s="71">
        <f>SUM(M65:M67)</f>
        <v>101</v>
      </c>
      <c r="N68" s="131">
        <f>SUM(N65:N67)</f>
        <v>584.79999999999995</v>
      </c>
    </row>
    <row r="69" spans="2:14" s="43" customFormat="1" ht="20.05" customHeight="1" thickBot="1" x14ac:dyDescent="0.45">
      <c r="B69" s="66" t="s">
        <v>47</v>
      </c>
      <c r="C69" s="67"/>
      <c r="D69" s="67"/>
      <c r="E69" s="67"/>
      <c r="F69" s="67"/>
      <c r="G69" s="67"/>
      <c r="H69" s="132">
        <f>H68/C$5</f>
        <v>0.65497076023391809</v>
      </c>
      <c r="I69" s="132"/>
      <c r="J69" s="133">
        <f>J68/D$5</f>
        <v>0.75108225108225113</v>
      </c>
      <c r="K69" s="132">
        <f>K68/C$6</f>
        <v>0.54166666666666663</v>
      </c>
      <c r="L69" s="132">
        <f>L68/D$6</f>
        <v>0.36931818181818182</v>
      </c>
      <c r="M69" s="134">
        <f>(M68+'Capacity Provider'!D$29)/'Capacity Provider'!D$32</f>
        <v>1.0087719298245614</v>
      </c>
      <c r="N69" s="135">
        <f>(N68+'Capacity Provider'!D$51)/'Capacity Provider'!D$55</f>
        <v>0.92159090909090902</v>
      </c>
    </row>
  </sheetData>
  <mergeCells count="21">
    <mergeCell ref="B63:B64"/>
    <mergeCell ref="K63:L63"/>
    <mergeCell ref="B54:B55"/>
    <mergeCell ref="D54:D55"/>
    <mergeCell ref="K54:L54"/>
    <mergeCell ref="C54:C55"/>
    <mergeCell ref="C63:C64"/>
    <mergeCell ref="B45:B46"/>
    <mergeCell ref="D45:D46"/>
    <mergeCell ref="G45:J45"/>
    <mergeCell ref="K45:L45"/>
    <mergeCell ref="C45:C46"/>
    <mergeCell ref="M45:N45"/>
    <mergeCell ref="M54:N54"/>
    <mergeCell ref="M63:N63"/>
    <mergeCell ref="D63:D64"/>
    <mergeCell ref="G54:J54"/>
    <mergeCell ref="G63:J63"/>
    <mergeCell ref="E45:E46"/>
    <mergeCell ref="E54:E55"/>
    <mergeCell ref="E63:E64"/>
  </mergeCells>
  <conditionalFormatting sqref="H51:N51 H60:N60 H69:N69">
    <cfRule type="cellIs" dxfId="0" priority="1" operator="greaterThan">
      <formula>1</formula>
    </cfRule>
  </conditionalFormatting>
  <pageMargins left="0.7" right="0.7" top="0.75" bottom="0.75" header="0.3" footer="0.3"/>
  <pageSetup orientation="portrait" r:id="rId1"/>
  <ignoredErrors>
    <ignoredError sqref="H56:H58 D23:E23" formula="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91712-5E25-430B-8726-DA0D608F90DE}">
  <dimension ref="A1:F70"/>
  <sheetViews>
    <sheetView showGridLines="0" topLeftCell="A49" zoomScale="140" zoomScaleNormal="140" workbookViewId="0">
      <selection activeCell="A10" sqref="A10:XFD10"/>
    </sheetView>
  </sheetViews>
  <sheetFormatPr defaultColWidth="8.765625" defaultRowHeight="20.149999999999999" customHeight="1" x14ac:dyDescent="0.4"/>
  <cols>
    <col min="1" max="1" width="8.765625" style="3"/>
    <col min="2" max="2" width="28.23046875" style="3" customWidth="1"/>
    <col min="3" max="3" width="11.921875" style="3" customWidth="1"/>
    <col min="4" max="5" width="13.765625" style="3" customWidth="1"/>
    <col min="6" max="6" width="16.765625" style="3" customWidth="1"/>
    <col min="7" max="7" width="17.3828125" style="3" customWidth="1"/>
    <col min="8" max="8" width="8.765625" style="3"/>
    <col min="9" max="9" width="28.61328125" style="3" customWidth="1"/>
    <col min="10" max="10" width="13.3828125" style="3" bestFit="1" customWidth="1"/>
    <col min="11" max="16384" width="8.765625" style="3"/>
  </cols>
  <sheetData>
    <row r="1" spans="1:6" ht="20.149999999999999" customHeight="1" x14ac:dyDescent="0.5">
      <c r="A1" s="1" t="s">
        <v>48</v>
      </c>
    </row>
    <row r="2" spans="1:6" ht="20.149999999999999" customHeight="1" x14ac:dyDescent="0.5">
      <c r="A2" s="1"/>
      <c r="B2" s="3" t="s">
        <v>55</v>
      </c>
    </row>
    <row r="3" spans="1:6" ht="20.149999999999999" customHeight="1" x14ac:dyDescent="0.4">
      <c r="B3" s="41" t="s">
        <v>49</v>
      </c>
      <c r="C3" s="42">
        <v>171</v>
      </c>
      <c r="D3" s="43" t="s">
        <v>50</v>
      </c>
      <c r="E3" s="31"/>
      <c r="F3" s="31"/>
    </row>
    <row r="4" spans="1:6" ht="20.149999999999999" customHeight="1" x14ac:dyDescent="0.4">
      <c r="B4" s="41" t="s">
        <v>51</v>
      </c>
      <c r="C4" s="42">
        <v>43</v>
      </c>
      <c r="D4" s="43" t="s">
        <v>52</v>
      </c>
      <c r="E4" s="31"/>
      <c r="F4" s="31"/>
    </row>
    <row r="5" spans="1:6" ht="20.149999999999999" customHeight="1" x14ac:dyDescent="0.4">
      <c r="B5" s="43" t="s">
        <v>69</v>
      </c>
      <c r="C5" s="45"/>
      <c r="D5" s="43"/>
      <c r="E5" s="31"/>
      <c r="F5" s="31"/>
    </row>
    <row r="6" spans="1:6" ht="20.149999999999999" customHeight="1" x14ac:dyDescent="0.4">
      <c r="B6" s="43" t="s">
        <v>75</v>
      </c>
      <c r="C6" s="45"/>
      <c r="D6" s="43"/>
      <c r="E6" s="31"/>
      <c r="F6" s="31"/>
    </row>
    <row r="7" spans="1:6" ht="20.149999999999999" customHeight="1" x14ac:dyDescent="0.4">
      <c r="B7" s="43"/>
      <c r="C7" s="45"/>
      <c r="D7" s="43"/>
      <c r="E7" s="31"/>
      <c r="F7" s="31"/>
    </row>
    <row r="8" spans="1:6" ht="20.149999999999999" customHeight="1" x14ac:dyDescent="0.5">
      <c r="A8" s="1" t="s">
        <v>61</v>
      </c>
      <c r="B8" s="43"/>
      <c r="C8" s="45"/>
      <c r="D8" s="43"/>
      <c r="E8" s="31"/>
      <c r="F8" s="31"/>
    </row>
    <row r="9" spans="1:6" ht="20.149999999999999" customHeight="1" x14ac:dyDescent="0.4">
      <c r="B9" s="48" t="s">
        <v>57</v>
      </c>
      <c r="C9" s="47">
        <f>165000</f>
        <v>165000</v>
      </c>
      <c r="D9" s="3" t="s">
        <v>179</v>
      </c>
    </row>
    <row r="10" spans="1:6" ht="20.149999999999999" customHeight="1" x14ac:dyDescent="0.4">
      <c r="B10" s="3" t="s">
        <v>63</v>
      </c>
      <c r="C10" s="48"/>
    </row>
    <row r="11" spans="1:6" ht="20.149999999999999" customHeight="1" x14ac:dyDescent="0.5">
      <c r="A11" s="1"/>
      <c r="B11" s="3" t="s">
        <v>97</v>
      </c>
      <c r="D11" s="87">
        <v>10</v>
      </c>
      <c r="E11" s="3" t="s">
        <v>71</v>
      </c>
    </row>
    <row r="12" spans="1:6" ht="20.149999999999999" customHeight="1" x14ac:dyDescent="0.5">
      <c r="A12" s="1"/>
      <c r="B12" s="3" t="s">
        <v>98</v>
      </c>
      <c r="D12" s="46">
        <f>1/D11</f>
        <v>0.1</v>
      </c>
      <c r="E12" s="3" t="s">
        <v>72</v>
      </c>
    </row>
    <row r="13" spans="1:6" ht="20.149999999999999" customHeight="1" x14ac:dyDescent="0.4">
      <c r="B13" s="41"/>
      <c r="C13" s="41"/>
    </row>
    <row r="14" spans="1:6" ht="20.149999999999999" customHeight="1" x14ac:dyDescent="0.5">
      <c r="A14" s="1" t="s">
        <v>66</v>
      </c>
    </row>
    <row r="15" spans="1:6" ht="20.149999999999999" customHeight="1" x14ac:dyDescent="0.4">
      <c r="B15" s="151" t="s">
        <v>10</v>
      </c>
      <c r="C15" s="153" t="s">
        <v>17</v>
      </c>
      <c r="D15" s="155" t="s">
        <v>53</v>
      </c>
      <c r="E15" s="155"/>
      <c r="F15" s="154" t="s">
        <v>48</v>
      </c>
    </row>
    <row r="16" spans="1:6" ht="20.149999999999999" customHeight="1" x14ac:dyDescent="0.4">
      <c r="B16" s="152"/>
      <c r="C16" s="139"/>
      <c r="D16" s="32" t="s">
        <v>54</v>
      </c>
      <c r="E16" s="32" t="s">
        <v>2</v>
      </c>
      <c r="F16" s="154"/>
    </row>
    <row r="17" spans="1:6" ht="20.149999999999999" customHeight="1" x14ac:dyDescent="0.4">
      <c r="B17" s="7" t="s">
        <v>19</v>
      </c>
      <c r="C17" s="39">
        <f>'Capacity Consumer'!C47</f>
        <v>6</v>
      </c>
      <c r="D17" s="26">
        <f>'Capacity Consumer'!C$18</f>
        <v>16</v>
      </c>
      <c r="E17" s="6">
        <f>'Capacity Consumer'!C$19</f>
        <v>64</v>
      </c>
      <c r="F17" s="34">
        <f>C17*(D17*C$3+E17*C$4)</f>
        <v>32928</v>
      </c>
    </row>
    <row r="18" spans="1:6" ht="20.149999999999999" customHeight="1" x14ac:dyDescent="0.4">
      <c r="B18" s="7" t="s">
        <v>20</v>
      </c>
      <c r="C18" s="39">
        <f>'Capacity Consumer'!C48</f>
        <v>4</v>
      </c>
      <c r="D18" s="6">
        <f>'Capacity Consumer'!D$18</f>
        <v>8</v>
      </c>
      <c r="E18" s="6">
        <f>'Capacity Consumer'!D$19</f>
        <v>32</v>
      </c>
      <c r="F18" s="35">
        <f>C18*(D18*C$3+E18*C$4)</f>
        <v>10976</v>
      </c>
    </row>
    <row r="19" spans="1:6" ht="20.149999999999999" customHeight="1" x14ac:dyDescent="0.4">
      <c r="B19" s="7" t="s">
        <v>21</v>
      </c>
      <c r="C19" s="39">
        <f>'Capacity Consumer'!C49</f>
        <v>2</v>
      </c>
      <c r="D19" s="6">
        <f>'Capacity Consumer'!E$18</f>
        <v>4</v>
      </c>
      <c r="E19" s="6">
        <f>'Capacity Consumer'!E$19</f>
        <v>16</v>
      </c>
      <c r="F19" s="36">
        <f>C19*(D19*C$3+E19*C$4)</f>
        <v>2744</v>
      </c>
    </row>
    <row r="20" spans="1:6" ht="20.149999999999999" customHeight="1" x14ac:dyDescent="0.4">
      <c r="B20" s="37" t="s">
        <v>22</v>
      </c>
      <c r="C20" s="37">
        <f>SUM(C17:C19)</f>
        <v>12</v>
      </c>
      <c r="D20" s="55"/>
      <c r="E20" s="56"/>
      <c r="F20" s="57">
        <f>SUM(F17:F19)</f>
        <v>46648</v>
      </c>
    </row>
    <row r="21" spans="1:6" ht="20.149999999999999" customHeight="1" thickBot="1" x14ac:dyDescent="0.45"/>
    <row r="22" spans="1:6" ht="20.149999999999999" customHeight="1" x14ac:dyDescent="0.45">
      <c r="D22" s="49" t="s">
        <v>60</v>
      </c>
      <c r="E22" s="50"/>
      <c r="F22" s="51">
        <f>F20*5</f>
        <v>233240</v>
      </c>
    </row>
    <row r="23" spans="1:6" ht="20.149999999999999" customHeight="1" thickBot="1" x14ac:dyDescent="0.5">
      <c r="D23" s="44" t="s">
        <v>62</v>
      </c>
      <c r="E23" s="52"/>
      <c r="F23" s="53">
        <f>ROUNDDOWN(F22-C$9,-3)</f>
        <v>68000</v>
      </c>
    </row>
    <row r="25" spans="1:6" ht="20.149999999999999" customHeight="1" x14ac:dyDescent="0.5">
      <c r="A25" s="1" t="s">
        <v>67</v>
      </c>
    </row>
    <row r="26" spans="1:6" ht="20.149999999999999" customHeight="1" x14ac:dyDescent="0.4">
      <c r="B26" s="151" t="s">
        <v>10</v>
      </c>
      <c r="C26" s="153" t="s">
        <v>17</v>
      </c>
      <c r="D26" s="155" t="s">
        <v>53</v>
      </c>
      <c r="E26" s="155"/>
      <c r="F26" s="154" t="s">
        <v>48</v>
      </c>
    </row>
    <row r="27" spans="1:6" ht="20.149999999999999" customHeight="1" x14ac:dyDescent="0.4">
      <c r="B27" s="152"/>
      <c r="C27" s="139"/>
      <c r="D27" s="32" t="s">
        <v>54</v>
      </c>
      <c r="E27" s="32" t="s">
        <v>2</v>
      </c>
      <c r="F27" s="154"/>
    </row>
    <row r="28" spans="1:6" ht="20.149999999999999" customHeight="1" x14ac:dyDescent="0.4">
      <c r="B28" s="7" t="s">
        <v>19</v>
      </c>
      <c r="C28" s="38">
        <f>'Capacity Consumer'!C56</f>
        <v>2</v>
      </c>
      <c r="D28" s="6">
        <f>'Capacity Consumer'!C$18</f>
        <v>16</v>
      </c>
      <c r="E28" s="6">
        <f>'Capacity Consumer'!C$19</f>
        <v>64</v>
      </c>
      <c r="F28" s="34">
        <f>C28*(D28*C$3+E28*C$4)</f>
        <v>10976</v>
      </c>
    </row>
    <row r="29" spans="1:6" ht="20.149999999999999" customHeight="1" x14ac:dyDescent="0.4">
      <c r="B29" s="7" t="s">
        <v>20</v>
      </c>
      <c r="C29" s="39">
        <f>'Capacity Consumer'!C57</f>
        <v>18</v>
      </c>
      <c r="D29" s="6">
        <f>'Capacity Consumer'!D$18</f>
        <v>8</v>
      </c>
      <c r="E29" s="6">
        <f>'Capacity Consumer'!D$19</f>
        <v>32</v>
      </c>
      <c r="F29" s="35">
        <f>C29*(D29*C$3+E29*C$4)</f>
        <v>49392</v>
      </c>
    </row>
    <row r="30" spans="1:6" ht="20.149999999999999" customHeight="1" x14ac:dyDescent="0.4">
      <c r="B30" s="7" t="s">
        <v>21</v>
      </c>
      <c r="C30" s="40">
        <f>'Capacity Consumer'!C58</f>
        <v>4</v>
      </c>
      <c r="D30" s="6">
        <f>'Capacity Consumer'!E$18</f>
        <v>4</v>
      </c>
      <c r="E30" s="6">
        <f>'Capacity Consumer'!E$19</f>
        <v>16</v>
      </c>
      <c r="F30" s="36">
        <f>C30*(D30*C$3+E30*C$4)</f>
        <v>5488</v>
      </c>
    </row>
    <row r="31" spans="1:6" ht="20.149999999999999" customHeight="1" x14ac:dyDescent="0.4">
      <c r="B31" s="21" t="s">
        <v>22</v>
      </c>
      <c r="C31" s="30">
        <f>SUM(C28:C30)</f>
        <v>24</v>
      </c>
      <c r="D31" s="55"/>
      <c r="E31" s="56"/>
      <c r="F31" s="33">
        <f>SUM(F28:F30)</f>
        <v>65856</v>
      </c>
    </row>
    <row r="32" spans="1:6" ht="20.149999999999999" customHeight="1" thickBot="1" x14ac:dyDescent="0.45"/>
    <row r="33" spans="1:6" ht="20.149999999999999" customHeight="1" x14ac:dyDescent="0.45">
      <c r="D33" s="49" t="s">
        <v>60</v>
      </c>
      <c r="E33" s="50"/>
      <c r="F33" s="51">
        <f>F31*5</f>
        <v>329280</v>
      </c>
    </row>
    <row r="34" spans="1:6" ht="20.149999999999999" customHeight="1" thickBot="1" x14ac:dyDescent="0.5">
      <c r="D34" s="44" t="s">
        <v>62</v>
      </c>
      <c r="E34" s="52"/>
      <c r="F34" s="53">
        <f>ROUNDDOWN(F33-C$9,-3)</f>
        <v>164000</v>
      </c>
    </row>
    <row r="36" spans="1:6" ht="20.149999999999999" customHeight="1" x14ac:dyDescent="0.5">
      <c r="A36" s="1" t="s">
        <v>68</v>
      </c>
    </row>
    <row r="37" spans="1:6" ht="20.149999999999999" customHeight="1" x14ac:dyDescent="0.4">
      <c r="B37" s="151" t="s">
        <v>10</v>
      </c>
      <c r="C37" s="153" t="s">
        <v>17</v>
      </c>
      <c r="D37" s="155" t="s">
        <v>53</v>
      </c>
      <c r="E37" s="155"/>
      <c r="F37" s="154" t="s">
        <v>48</v>
      </c>
    </row>
    <row r="38" spans="1:6" ht="20.149999999999999" customHeight="1" x14ac:dyDescent="0.4">
      <c r="B38" s="152"/>
      <c r="C38" s="139"/>
      <c r="D38" s="32" t="s">
        <v>54</v>
      </c>
      <c r="E38" s="32" t="s">
        <v>2</v>
      </c>
      <c r="F38" s="154"/>
    </row>
    <row r="39" spans="1:6" ht="20.149999999999999" customHeight="1" x14ac:dyDescent="0.4">
      <c r="B39" s="7" t="s">
        <v>19</v>
      </c>
      <c r="C39" s="38">
        <f>'Capacity Consumer'!C65</f>
        <v>1</v>
      </c>
      <c r="D39" s="6">
        <f>'Capacity Consumer'!C$18</f>
        <v>16</v>
      </c>
      <c r="E39" s="6">
        <f>'Capacity Consumer'!C$19</f>
        <v>64</v>
      </c>
      <c r="F39" s="34">
        <f>C39*(D39*C$3+E39*C$4)</f>
        <v>5488</v>
      </c>
    </row>
    <row r="40" spans="1:6" ht="20.149999999999999" customHeight="1" x14ac:dyDescent="0.4">
      <c r="B40" s="7" t="s">
        <v>20</v>
      </c>
      <c r="C40" s="39">
        <f>'Capacity Consumer'!C66</f>
        <v>5</v>
      </c>
      <c r="D40" s="6">
        <f>'Capacity Consumer'!D$18</f>
        <v>8</v>
      </c>
      <c r="E40" s="6">
        <f>'Capacity Consumer'!D$19</f>
        <v>32</v>
      </c>
      <c r="F40" s="35">
        <f>C40*(D40*C$3+E40*C$4)</f>
        <v>13720</v>
      </c>
    </row>
    <row r="41" spans="1:6" ht="20.149999999999999" customHeight="1" x14ac:dyDescent="0.4">
      <c r="B41" s="7" t="s">
        <v>21</v>
      </c>
      <c r="C41" s="40">
        <f>'Capacity Consumer'!C67</f>
        <v>29</v>
      </c>
      <c r="D41" s="6">
        <f>'Capacity Consumer'!E$18</f>
        <v>4</v>
      </c>
      <c r="E41" s="6">
        <f>'Capacity Consumer'!E$19</f>
        <v>16</v>
      </c>
      <c r="F41" s="36">
        <f>C41*(D41*C$3+E41*C$4)</f>
        <v>39788</v>
      </c>
    </row>
    <row r="42" spans="1:6" ht="20.149999999999999" customHeight="1" x14ac:dyDescent="0.4">
      <c r="B42" s="21" t="s">
        <v>22</v>
      </c>
      <c r="C42" s="30">
        <f>SUM(C39:C41)</f>
        <v>35</v>
      </c>
      <c r="D42" s="55"/>
      <c r="E42" s="56"/>
      <c r="F42" s="33">
        <f>SUM(F39:F41)</f>
        <v>58996</v>
      </c>
    </row>
    <row r="43" spans="1:6" ht="20.149999999999999" customHeight="1" thickBot="1" x14ac:dyDescent="0.45"/>
    <row r="44" spans="1:6" ht="20.149999999999999" customHeight="1" x14ac:dyDescent="0.45">
      <c r="D44" s="49" t="s">
        <v>60</v>
      </c>
      <c r="E44" s="50"/>
      <c r="F44" s="51">
        <f>F42*5</f>
        <v>294980</v>
      </c>
    </row>
    <row r="45" spans="1:6" ht="20.149999999999999" customHeight="1" thickBot="1" x14ac:dyDescent="0.5">
      <c r="D45" s="44" t="s">
        <v>62</v>
      </c>
      <c r="E45" s="52"/>
      <c r="F45" s="53">
        <f>ROUNDDOWN(F44-C$9,-3)</f>
        <v>129000</v>
      </c>
    </row>
    <row r="47" spans="1:6" ht="20.149999999999999" customHeight="1" x14ac:dyDescent="0.5">
      <c r="A47" s="1" t="s">
        <v>58</v>
      </c>
    </row>
    <row r="48" spans="1:6" ht="20.149999999999999" customHeight="1" x14ac:dyDescent="0.4">
      <c r="B48" s="43" t="s">
        <v>56</v>
      </c>
    </row>
    <row r="70" spans="3:6" ht="20.149999999999999" customHeight="1" x14ac:dyDescent="0.4">
      <c r="C70" s="45"/>
      <c r="D70" s="43"/>
      <c r="E70" s="31"/>
      <c r="F70" s="31"/>
    </row>
  </sheetData>
  <mergeCells count="12">
    <mergeCell ref="F15:F16"/>
    <mergeCell ref="F26:F27"/>
    <mergeCell ref="F37:F38"/>
    <mergeCell ref="D15:E15"/>
    <mergeCell ref="D26:E26"/>
    <mergeCell ref="D37:E37"/>
    <mergeCell ref="B15:B16"/>
    <mergeCell ref="C15:C16"/>
    <mergeCell ref="B26:B27"/>
    <mergeCell ref="C26:C27"/>
    <mergeCell ref="B37:B38"/>
    <mergeCell ref="C37:C38"/>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Read Me</vt:lpstr>
      <vt:lpstr>Capacity Provider</vt:lpstr>
      <vt:lpstr>Capacity Consumer</vt:lpstr>
      <vt:lpstr>Cost Comparison</vt:lpstr>
      <vt:lpstr>ESXi.CPU.Usable.Capacity.Reservation</vt:lpstr>
      <vt:lpstr>ESXi.CPU.Usable.Capacity.Utilization</vt:lpstr>
      <vt:lpstr>Hypervisor.Overhead.CPU</vt:lpstr>
      <vt:lpstr>Hypervisor.Overhead.Memory</vt:lpstr>
      <vt:lpstr>Silver.VM.RAM</vt:lpstr>
      <vt:lpstr>Silver.VM.vCPU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Iwan Rahabok</dc:creator>
  <cp:lastModifiedBy>Iwan Rahabok</cp:lastModifiedBy>
  <dcterms:created xsi:type="dcterms:W3CDTF">2025-05-02T12:34:05Z</dcterms:created>
  <dcterms:modified xsi:type="dcterms:W3CDTF">2026-07-25T10:29:59Z</dcterms:modified>
</cp:coreProperties>
</file>